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3 ARBEIT, ERWERB\Arbeit und Erwerb - Strukturerhebung\2024\"/>
    </mc:Choice>
  </mc:AlternateContent>
  <xr:revisionPtr revIDLastSave="0" documentId="13_ncr:1_{585B9C2B-C981-4468-872A-BB93F5378F1B}" xr6:coauthVersionLast="47" xr6:coauthVersionMax="47" xr10:uidLastSave="{00000000-0000-0000-0000-000000000000}"/>
  <workbookProtection lockStructure="1"/>
  <bookViews>
    <workbookView xWindow="-105" yWindow="0" windowWidth="26010" windowHeight="20985" xr2:uid="{00000000-000D-0000-FFFF-FFFF00000000}"/>
  </bookViews>
  <sheets>
    <sheet name="Schweiz" sheetId="1" r:id="rId1"/>
    <sheet name="Uebersetzu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1" l="1"/>
  <c r="A50" i="1"/>
  <c r="A49" i="1"/>
  <c r="A48" i="1"/>
  <c r="A47" i="1"/>
  <c r="Q14" i="1" l="1"/>
  <c r="O14" i="1"/>
  <c r="G14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A54" i="1"/>
  <c r="I14" i="1"/>
  <c r="E14" i="1"/>
  <c r="C14" i="1"/>
  <c r="B17" i="1" l="1"/>
  <c r="B16" i="1"/>
  <c r="A16" i="1"/>
  <c r="A43" i="1"/>
  <c r="A15" i="1"/>
  <c r="A53" i="1"/>
  <c r="A44" i="1"/>
  <c r="Q13" i="1"/>
  <c r="O13" i="1"/>
  <c r="M13" i="1"/>
  <c r="K13" i="1"/>
  <c r="I13" i="1"/>
  <c r="G13" i="1"/>
  <c r="E13" i="1"/>
  <c r="R14" i="1"/>
  <c r="P14" i="1"/>
  <c r="N14" i="1"/>
  <c r="M14" i="1"/>
  <c r="L14" i="1"/>
  <c r="K14" i="1"/>
  <c r="J14" i="1"/>
  <c r="H14" i="1"/>
  <c r="F14" i="1"/>
  <c r="D14" i="1"/>
  <c r="C13" i="1"/>
  <c r="A10" i="1"/>
  <c r="A9" i="1"/>
  <c r="A7" i="1"/>
  <c r="A45" i="1" l="1"/>
  <c r="A46" i="1"/>
</calcChain>
</file>

<file path=xl/sharedStrings.xml><?xml version="1.0" encoding="utf-8"?>
<sst xmlns="http://schemas.openxmlformats.org/spreadsheetml/2006/main" count="227" uniqueCount="207">
  <si>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</si>
  <si>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</si>
  <si>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</si>
  <si>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</si>
  <si>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</si>
  <si>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</si>
  <si>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</si>
  <si>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</si>
  <si>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</si>
  <si>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</si>
  <si>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</si>
  <si>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</si>
  <si>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</si>
  <si>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</si>
  <si>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</si>
  <si>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Total Bevölkerung (ab 15 Jahren)</t>
  </si>
  <si>
    <t>Total populaziun (a partir da 15 onns)</t>
  </si>
  <si>
    <t>Totale</t>
  </si>
  <si>
    <t>&lt;SpaltenTitel_2&gt;</t>
  </si>
  <si>
    <t>Total Erwerbspersonen (ab 15 Jahren)</t>
  </si>
  <si>
    <t>Total persunas cun activitad da gudogn (a partir da 15 onns)</t>
  </si>
  <si>
    <t>&lt;SpaltenTitel_3&gt;</t>
  </si>
  <si>
    <t>Standardisierte Erwerbsquote (ab 15 Jahren)</t>
  </si>
  <si>
    <t>Quota d'activitad da gudogn standardisada (a partir da 15 onns)</t>
  </si>
  <si>
    <t>&lt;SpaltenTitel_4&gt;</t>
  </si>
  <si>
    <t>Total Bevölkerung (15 bis 64 Jahre)</t>
  </si>
  <si>
    <t>Total populaziun (15 fin 64 onns)</t>
  </si>
  <si>
    <t>&lt;SpaltenTitel_5&gt;</t>
  </si>
  <si>
    <t>Total Erwerbspersonen (15 bis 64 Jahre)</t>
  </si>
  <si>
    <t>Total persunas cun activitad da gudogn (15 fin 64 onns)</t>
  </si>
  <si>
    <t>&lt;SpaltenTitel_6&gt;</t>
  </si>
  <si>
    <t>Total Erwerbslose (15 bis 64 Jahre)</t>
  </si>
  <si>
    <t>Total persunas senza activitad da gudogn (15 fin 64 onns)</t>
  </si>
  <si>
    <t>&lt;SpaltenTitel_7&gt;</t>
  </si>
  <si>
    <t>Nettoerwerbsquote (15 bis 64 Jahre)</t>
  </si>
  <si>
    <t>Quota da gudogn net (15 fin 64 onns)</t>
  </si>
  <si>
    <t>&lt;SpaltenTitel_8&gt;</t>
  </si>
  <si>
    <t>Erwerbslosenquote (15 bis 64 Jahre)</t>
  </si>
  <si>
    <t>quota da persunas dischoccupadas (15 fin 64 onns)</t>
  </si>
  <si>
    <t>&lt;SpaltenTitel_1.1&gt;</t>
  </si>
  <si>
    <t>Anzahl Personen</t>
  </si>
  <si>
    <t>Dumber da persunas</t>
  </si>
  <si>
    <t>Numero di persone</t>
  </si>
  <si>
    <t>&lt;SpaltenTitel_1.2&gt;</t>
  </si>
  <si>
    <t>Vertrauens- intervall:          ± (in %)</t>
  </si>
  <si>
    <t>Interval da confidenza:          ± (en %)</t>
  </si>
  <si>
    <t>Intervallo di confidenza:          ± (in %)</t>
  </si>
  <si>
    <t>&lt;SpaltenTitel_1.3&gt;</t>
  </si>
  <si>
    <t>in %</t>
  </si>
  <si>
    <t>en %</t>
  </si>
  <si>
    <t>&lt;Zeilentitel_1&gt;</t>
  </si>
  <si>
    <t>Total</t>
  </si>
  <si>
    <t>&lt;Zeilentitel_2&gt;</t>
  </si>
  <si>
    <t>Kanton</t>
  </si>
  <si>
    <t>Chantun</t>
  </si>
  <si>
    <t>Cantone</t>
  </si>
  <si>
    <t>&lt;Zeilentitel_2.1&gt;</t>
  </si>
  <si>
    <t>Zürich</t>
  </si>
  <si>
    <t>Turitg</t>
  </si>
  <si>
    <t>Zurigo</t>
  </si>
  <si>
    <t>&lt;Zeilentitel_2.2&gt;</t>
  </si>
  <si>
    <t>Bern</t>
  </si>
  <si>
    <t>Berna</t>
  </si>
  <si>
    <t>&lt;Zeilentitel_2.3&gt;</t>
  </si>
  <si>
    <t>Luzern</t>
  </si>
  <si>
    <t>Lucerna</t>
  </si>
  <si>
    <t>&lt;Zeilentitel_2.4&gt;</t>
  </si>
  <si>
    <t>Uri</t>
  </si>
  <si>
    <t>&lt;Zeilentitel_2.5&gt;</t>
  </si>
  <si>
    <t>Schwyz</t>
  </si>
  <si>
    <t>Sviz</t>
  </si>
  <si>
    <t>Svitto</t>
  </si>
  <si>
    <t>&lt;Zeilentitel_2.6&gt;</t>
  </si>
  <si>
    <t>Obwalden</t>
  </si>
  <si>
    <t>Sursilvania</t>
  </si>
  <si>
    <t>Obvaldo</t>
  </si>
  <si>
    <t>&lt;Zeilentitel_2.7&gt;</t>
  </si>
  <si>
    <t>Nidwalden</t>
  </si>
  <si>
    <t>Sutsilvania</t>
  </si>
  <si>
    <t>Nidvaldo</t>
  </si>
  <si>
    <t>&lt;Zeilentitel_2.8&gt;</t>
  </si>
  <si>
    <t>Glarus</t>
  </si>
  <si>
    <t>Glaruna</t>
  </si>
  <si>
    <t>Glarona</t>
  </si>
  <si>
    <t>&lt;Zeilentitel_2.9&gt;</t>
  </si>
  <si>
    <t>Zug</t>
  </si>
  <si>
    <t>Zugo</t>
  </si>
  <si>
    <t>&lt;Zeilentitel_2.10&gt;</t>
  </si>
  <si>
    <t>Freiburg</t>
  </si>
  <si>
    <t>Friburg</t>
  </si>
  <si>
    <t>Friborgo</t>
  </si>
  <si>
    <t>&lt;Zeilentitel_2.11&gt;</t>
  </si>
  <si>
    <t>Solothurn</t>
  </si>
  <si>
    <t>Soloturn</t>
  </si>
  <si>
    <t>Soletta</t>
  </si>
  <si>
    <t>&lt;Zeilentitel_2.12&gt;</t>
  </si>
  <si>
    <t>Basel-Stadt</t>
  </si>
  <si>
    <t>Basilea-Citad</t>
  </si>
  <si>
    <t>Basilea Città</t>
  </si>
  <si>
    <t>&lt;Zeilentitel_2.13&gt;</t>
  </si>
  <si>
    <t>Basel-Landschaft</t>
  </si>
  <si>
    <t>Basilea-Champagna</t>
  </si>
  <si>
    <t>Basilea Campagna</t>
  </si>
  <si>
    <t>&lt;Zeilentitel_2.14&gt;</t>
  </si>
  <si>
    <t>Schaffhausen</t>
  </si>
  <si>
    <t>Schaffusa</t>
  </si>
  <si>
    <t>Sciaffusa</t>
  </si>
  <si>
    <t>&lt;Zeilentitel_2.15&gt;</t>
  </si>
  <si>
    <t>Appenzell Ausserrhoden</t>
  </si>
  <si>
    <t>Appenzell Dadora</t>
  </si>
  <si>
    <t>Appenzello Esterno</t>
  </si>
  <si>
    <t>&lt;Zeilentitel_2.16&gt;</t>
  </si>
  <si>
    <t>Appenzell Innerrhoden</t>
  </si>
  <si>
    <t>Appenzell Dadens</t>
  </si>
  <si>
    <t>Appenzello Interno</t>
  </si>
  <si>
    <t>&lt;Zeilentitel_2.17&gt;</t>
  </si>
  <si>
    <t>St. Gallen</t>
  </si>
  <si>
    <t>Son Gagl</t>
  </si>
  <si>
    <t>San Gallo</t>
  </si>
  <si>
    <t>&lt;Zeilentitel_2.18&gt;</t>
  </si>
  <si>
    <t>Graubünden</t>
  </si>
  <si>
    <t>Grischun</t>
  </si>
  <si>
    <t>Grigioni</t>
  </si>
  <si>
    <t>&lt;Zeilentitel_2.19&gt;</t>
  </si>
  <si>
    <t>Aargau</t>
  </si>
  <si>
    <t>Argovia</t>
  </si>
  <si>
    <t>&lt;Zeilentitel_2.20&gt;</t>
  </si>
  <si>
    <t>Thurgau</t>
  </si>
  <si>
    <t>Turgovia</t>
  </si>
  <si>
    <t>&lt;Zeilentitel_2.21&gt;</t>
  </si>
  <si>
    <t>Ticino</t>
  </si>
  <si>
    <t>Tessin</t>
  </si>
  <si>
    <t>&lt;Zeilentitel_2.22&gt;</t>
  </si>
  <si>
    <t>Vaud</t>
  </si>
  <si>
    <t>Vad</t>
  </si>
  <si>
    <t>&lt;Zeilentitel_2.23&gt;</t>
  </si>
  <si>
    <t>Wallis</t>
  </si>
  <si>
    <t>Vallais</t>
  </si>
  <si>
    <t>Vallese</t>
  </si>
  <si>
    <t>&lt;Zeilentitel_2.24&gt;</t>
  </si>
  <si>
    <t>Neuchâtel</t>
  </si>
  <si>
    <t>&lt;Zeilentitel_2.25&gt;</t>
  </si>
  <si>
    <t>Genève</t>
  </si>
  <si>
    <t>Genevra</t>
  </si>
  <si>
    <t>Ginevra</t>
  </si>
  <si>
    <t>&lt;Zeilentitel_2.26&gt;</t>
  </si>
  <si>
    <t>Jura</t>
  </si>
  <si>
    <t>Giura</t>
  </si>
  <si>
    <t>&lt;Legende_1&gt;</t>
  </si>
  <si>
    <t>Definitionen:</t>
  </si>
  <si>
    <t>Definiziuns:</t>
  </si>
  <si>
    <t>&lt;Legende_2&gt;</t>
  </si>
  <si>
    <t>Erwerbsquote = Erwerbspersonen / Referenzbevölkerung x 100</t>
  </si>
  <si>
    <t>Quota d'activitad da gudogn = persunas cun activitad da gudogn / populaziun da referenza x 100</t>
  </si>
  <si>
    <t>&lt;Legende_3&gt;</t>
  </si>
  <si>
    <t>Standardisierte Erwerbsquote (gemessen an der Bevölkerung ab 15 Jahren)</t>
  </si>
  <si>
    <t>Quota d'activitad da gudogn standardisada (mesirada a la populaziun a partir da 15 onns)</t>
  </si>
  <si>
    <t>&lt;Legende_4&gt;</t>
  </si>
  <si>
    <t>Nettoerwerbsquote (gemessen an der Bevölkerung zwischen 15 und 64 Jahren)</t>
  </si>
  <si>
    <t>Quota da gudogn net (mesirada a la populaziun tranter 15 e 64 onns)</t>
  </si>
  <si>
    <t>&lt;Legende_5&gt;</t>
  </si>
  <si>
    <t>Erwerbslosenquote = Erwerbslose / Erwerbspersonen x 100</t>
  </si>
  <si>
    <t>&lt;Legende_6&gt;</t>
  </si>
  <si>
    <t>(): Extrapolation aufgrund von 49 oder weniger Beobachtungen. Die Resultate sind mit grosser Vorsicht zu interpretieren.</t>
  </si>
  <si>
    <t>(): Extrapolaziun sin basa da 49 u damain observaziuns. Ils resultats ston vegnir interpretads cun gronda precauziun.</t>
  </si>
  <si>
    <t>(): Estrapolazione basata su meno di 50 osservazioni. I risultati sono da interpretare con molta precauzione.</t>
  </si>
  <si>
    <t>&lt;Legende_7&gt;</t>
  </si>
  <si>
    <t>X: Extrapolation aufgrund von 4 oder weniger Beobachtungen. Die Resultate werden aus Gründen des Datenschutzes nicht publiziert.</t>
  </si>
  <si>
    <t>X: Extrapolaziun pervia da 4 u damain observaziuns. Per motivs da la protecziun da datas na vegnan ils resultats betg publitgads.</t>
  </si>
  <si>
    <t>X : Estrapolazione basata su meno di 5 osservazioni. I risultati non sono pubblicati per ragioni legate alla protezione dei dati.</t>
  </si>
  <si>
    <t>&lt;Legende_8&gt;</t>
  </si>
  <si>
    <t>Die Grundgesamtheit der Strukturerhebung enthält alle Personen der ständigen Wohnbevölkerung ab vollendetem 15. Altersjahr, die in Privathaushalten leben.</t>
  </si>
  <si>
    <t>La survista da basa da l'enquista da structura cumpiglia tut las persunas da la populaziun residenta permanenta a partir da 15 onns che vivan en chasadas privatas.</t>
  </si>
  <si>
    <t>L'universo di base della rilevazione strutturale comprende tutte le persone facenti parte della popolazione residente permanente di 15 anni e più che vivono in un'economia domestica.</t>
  </si>
  <si>
    <t>&lt;Legende_9&gt;</t>
  </si>
  <si>
    <t>Aus der Grundgesamtheit ausgeschlossen wurden neben den Personen, die in Kollektivhaushalten leben, auch Diplomaten, internationale Funktionäre und deren Angehörige.</t>
  </si>
  <si>
    <t>Exclus da la totalitad fundamentala èn vegnids ultra da las persunas che vivan en chasadas collectivas er diplomats, funcziunaris internaziunals e lur confamigliars.</t>
  </si>
  <si>
    <t>Sono esclusi diplomatici, i funzionari internazionali ed i loro familiari e le persone che vivono in una collettività.</t>
  </si>
  <si>
    <t>&lt;Quelle_1&gt;</t>
  </si>
  <si>
    <t>Quelle: BFS (Strukturerhebung)</t>
  </si>
  <si>
    <t>Funtauna: UST (enquista da structura)</t>
  </si>
  <si>
    <t>Fonte: UST (Rilevazione strutturale)</t>
  </si>
  <si>
    <t>&lt;Aktualisierung&gt;</t>
  </si>
  <si>
    <t>Erwerbs- und Erwerbslosenquote nach Kanton</t>
  </si>
  <si>
    <t>Quota da gudogn e da persunas senza gudogn tenor il chantun</t>
  </si>
  <si>
    <t>Tasso di attività e tasso di disoccupazione secondo il Cantone</t>
  </si>
  <si>
    <t>Popolazione totale
(15 anni e più)</t>
  </si>
  <si>
    <t>Persone attive
(15 anni e più)</t>
  </si>
  <si>
    <t>Tasso di attività standardizzato
(15 anni e più)</t>
  </si>
  <si>
    <t>Popolazione totale 
(15 ai 64 anni)</t>
  </si>
  <si>
    <t>Persone attive 
(15 ai 64 anni)</t>
  </si>
  <si>
    <t>Disoccupati
(15 ai 64 anni)</t>
  </si>
  <si>
    <t>Tasso di attività netto 
(15 ai 64 anni)</t>
  </si>
  <si>
    <t>Tasso di disoccupazione
(15 ai 64 anni)</t>
  </si>
  <si>
    <t>Definizioni:</t>
  </si>
  <si>
    <t>Tasso di attività = persone attive / popolazione di riferimento x 100</t>
  </si>
  <si>
    <t>Il tasso di attività standardizzato è calcolato sulla popolazione di 15 anni e più.</t>
  </si>
  <si>
    <t>Il tasso di attività netto è calcolato per la popolazione dai 15 ai 64 anni.</t>
  </si>
  <si>
    <t>Tasso di disoccupazione = Disoccupati / persone attive x100</t>
  </si>
  <si>
    <t>Quota da persunas senza gudogn = persunas dischoccupadas / persunas cun activitad da gudogn x 100</t>
  </si>
  <si>
    <t>Letztmals aktualisiert am: 29.01.2026</t>
  </si>
  <si>
    <t>Ultima actualisaziun: 29.01.2026</t>
  </si>
  <si>
    <t>Ulimo aggiornamento: 29.01.2026</t>
  </si>
  <si>
    <t>X</t>
  </si>
  <si>
    <t>Ständige Wohnbevölkerung ab 15 Jahren</t>
  </si>
  <si>
    <t>Populaziun residenta permanenta a partir da 15 onns</t>
  </si>
  <si>
    <t>Popolazione residente permanente di 15 anni e più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</si>
</sst>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_ ;\-#,##0\ "/>
    <numFmt numFmtId="167" formatCode="0.0"/>
    <numFmt numFmtId="168" formatCode="\(0.0\)"/>
    <numFmt numFmtId="169" formatCode="_-* #,##0.00\ _€_-;\-* #,##0.00\ _€_-;_-* &quot;-&quot;??\ _€_-;_-@_-"/>
    <numFmt numFmtId="170" formatCode="* #,###"/>
    <numFmt numFmtId="171" formatCode="\(##0\)"/>
    <numFmt numFmtId="172" formatCode="\(##0.0\)"/>
    <numFmt numFmtId="173" formatCode="\(#\'##0\)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8" fillId="2" borderId="0" xfId="3" applyFont="1" applyFill="1" applyAlignment="1">
      <alignment horizontal="left" vertical="top"/>
    </xf>
    <xf numFmtId="164" fontId="8" fillId="2" borderId="0" xfId="4" applyNumberFormat="1" applyFont="1" applyFill="1" applyBorder="1" applyAlignment="1" applyProtection="1">
      <alignment horizontal="left" vertical="top"/>
    </xf>
    <xf numFmtId="0" fontId="9" fillId="2" borderId="0" xfId="3" applyFont="1" applyFill="1" applyAlignment="1">
      <alignment horizontal="right" vertical="center"/>
    </xf>
    <xf numFmtId="0" fontId="3" fillId="2" borderId="0" xfId="0" applyFont="1" applyFill="1"/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vertical="top" wrapText="1"/>
    </xf>
    <xf numFmtId="3" fontId="4" fillId="2" borderId="0" xfId="1" applyNumberFormat="1" applyFont="1" applyFill="1" applyBorder="1" applyAlignment="1" applyProtection="1">
      <alignment horizontal="right" wrapText="1"/>
    </xf>
    <xf numFmtId="165" fontId="4" fillId="2" borderId="0" xfId="2" applyNumberFormat="1" applyFont="1" applyFill="1" applyBorder="1" applyAlignment="1" applyProtection="1">
      <alignment horizontal="right" wrapText="1"/>
    </xf>
    <xf numFmtId="166" fontId="4" fillId="2" borderId="0" xfId="1" applyNumberFormat="1" applyFont="1" applyFill="1" applyBorder="1" applyAlignment="1" applyProtection="1">
      <alignment horizontal="right" wrapText="1"/>
    </xf>
    <xf numFmtId="165" fontId="4" fillId="2" borderId="0" xfId="1" applyNumberFormat="1" applyFont="1" applyFill="1" applyBorder="1" applyAlignment="1" applyProtection="1">
      <alignment horizontal="right" wrapText="1"/>
    </xf>
    <xf numFmtId="0" fontId="11" fillId="4" borderId="0" xfId="0" applyFont="1" applyFill="1" applyAlignment="1">
      <alignment horizontal="left" vertical="top"/>
    </xf>
    <xf numFmtId="0" fontId="10" fillId="2" borderId="3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top"/>
    </xf>
    <xf numFmtId="0" fontId="11" fillId="4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vertical="top" wrapText="1"/>
    </xf>
    <xf numFmtId="3" fontId="4" fillId="2" borderId="5" xfId="6" applyNumberFormat="1" applyFont="1" applyFill="1" applyBorder="1" applyAlignment="1" applyProtection="1">
      <alignment horizontal="left" vertical="center" wrapText="1"/>
    </xf>
    <xf numFmtId="3" fontId="4" fillId="3" borderId="5" xfId="6" applyNumberFormat="1" applyFont="1" applyFill="1" applyBorder="1" applyAlignment="1" applyProtection="1">
      <alignment horizontal="left" vertical="center" wrapText="1"/>
    </xf>
    <xf numFmtId="0" fontId="0" fillId="2" borderId="2" xfId="0" applyFill="1" applyBorder="1"/>
    <xf numFmtId="3" fontId="4" fillId="2" borderId="7" xfId="6" applyNumberFormat="1" applyFont="1" applyFill="1" applyBorder="1" applyAlignment="1" applyProtection="1">
      <alignment horizontal="left" vertical="center" wrapText="1"/>
    </xf>
    <xf numFmtId="0" fontId="4" fillId="0" borderId="0" xfId="3" applyFont="1" applyBorder="1" applyAlignment="1">
      <alignment horizontal="left" vertical="top" wrapText="1"/>
    </xf>
    <xf numFmtId="0" fontId="12" fillId="5" borderId="0" xfId="0" applyFont="1" applyFill="1" applyBorder="1" applyAlignment="1">
      <alignment horizontal="left" vertical="top"/>
    </xf>
    <xf numFmtId="0" fontId="12" fillId="5" borderId="0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2" fillId="6" borderId="0" xfId="0" applyFont="1" applyFill="1" applyBorder="1" applyAlignment="1">
      <alignment horizontal="left" vertical="top"/>
    </xf>
    <xf numFmtId="0" fontId="4" fillId="6" borderId="0" xfId="0" applyFont="1" applyFill="1" applyBorder="1" applyAlignment="1" applyProtection="1">
      <alignment horizontal="left" vertical="top"/>
      <protection locked="0"/>
    </xf>
    <xf numFmtId="0" fontId="4" fillId="6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 indent="1"/>
    </xf>
    <xf numFmtId="0" fontId="4" fillId="7" borderId="0" xfId="0" applyFont="1" applyFill="1" applyBorder="1" applyAlignment="1">
      <alignment horizontal="left" vertical="top"/>
    </xf>
    <xf numFmtId="0" fontId="4" fillId="7" borderId="0" xfId="0" applyFont="1" applyFill="1" applyBorder="1" applyAlignment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>
      <alignment vertical="top" wrapText="1"/>
    </xf>
    <xf numFmtId="0" fontId="11" fillId="2" borderId="0" xfId="1" applyNumberFormat="1" applyFont="1" applyFill="1" applyBorder="1" applyAlignment="1" applyProtection="1">
      <alignment horizontal="right" vertical="top" wrapText="1"/>
    </xf>
    <xf numFmtId="0" fontId="11" fillId="2" borderId="17" xfId="2" applyNumberFormat="1" applyFont="1" applyFill="1" applyBorder="1" applyAlignment="1" applyProtection="1">
      <alignment horizontal="right" vertical="top" wrapText="1"/>
    </xf>
    <xf numFmtId="0" fontId="11" fillId="2" borderId="23" xfId="1" applyNumberFormat="1" applyFont="1" applyFill="1" applyBorder="1" applyAlignment="1" applyProtection="1">
      <alignment horizontal="right" vertical="top" wrapText="1"/>
    </xf>
    <xf numFmtId="0" fontId="11" fillId="2" borderId="26" xfId="1" applyNumberFormat="1" applyFont="1" applyFill="1" applyBorder="1" applyAlignment="1" applyProtection="1">
      <alignment horizontal="right" vertical="top" wrapText="1"/>
    </xf>
    <xf numFmtId="0" fontId="11" fillId="2" borderId="0" xfId="2" applyNumberFormat="1" applyFont="1" applyFill="1" applyBorder="1" applyAlignment="1" applyProtection="1">
      <alignment horizontal="right" vertical="top" wrapText="1"/>
    </xf>
    <xf numFmtId="0" fontId="11" fillId="2" borderId="27" xfId="2" applyNumberFormat="1" applyFont="1" applyFill="1" applyBorder="1" applyAlignment="1" applyProtection="1">
      <alignment horizontal="right" vertical="top" wrapText="1"/>
    </xf>
    <xf numFmtId="170" fontId="12" fillId="2" borderId="12" xfId="6" applyNumberFormat="1" applyFont="1" applyFill="1" applyBorder="1" applyAlignment="1" applyProtection="1">
      <alignment horizontal="right" vertical="center" wrapText="1"/>
    </xf>
    <xf numFmtId="167" fontId="12" fillId="2" borderId="22" xfId="6" applyNumberFormat="1" applyFont="1" applyFill="1" applyBorder="1" applyAlignment="1" applyProtection="1">
      <alignment horizontal="right" vertical="center" wrapText="1"/>
    </xf>
    <xf numFmtId="170" fontId="12" fillId="2" borderId="25" xfId="6" applyNumberFormat="1" applyFont="1" applyFill="1" applyBorder="1" applyAlignment="1" applyProtection="1">
      <alignment horizontal="right" vertical="center" wrapText="1"/>
    </xf>
    <xf numFmtId="167" fontId="12" fillId="2" borderId="12" xfId="6" applyNumberFormat="1" applyFont="1" applyFill="1" applyBorder="1" applyAlignment="1" applyProtection="1">
      <alignment horizontal="right" vertical="center" wrapText="1"/>
    </xf>
    <xf numFmtId="167" fontId="12" fillId="2" borderId="25" xfId="6" applyNumberFormat="1" applyFont="1" applyFill="1" applyBorder="1" applyAlignment="1" applyProtection="1">
      <alignment horizontal="right" vertical="center" wrapText="1"/>
    </xf>
    <xf numFmtId="167" fontId="12" fillId="2" borderId="13" xfId="6" applyNumberFormat="1" applyFont="1" applyFill="1" applyBorder="1" applyAlignment="1" applyProtection="1">
      <alignment horizontal="right" vertical="center" wrapText="1"/>
    </xf>
    <xf numFmtId="3" fontId="4" fillId="2" borderId="4" xfId="6" applyNumberFormat="1" applyFont="1" applyFill="1" applyBorder="1" applyAlignment="1" applyProtection="1">
      <alignment horizontal="right" vertical="center" wrapText="1"/>
    </xf>
    <xf numFmtId="167" fontId="4" fillId="2" borderId="18" xfId="6" applyNumberFormat="1" applyFont="1" applyFill="1" applyBorder="1" applyAlignment="1" applyProtection="1">
      <alignment horizontal="right" vertical="center" wrapText="1"/>
    </xf>
    <xf numFmtId="3" fontId="4" fillId="2" borderId="0" xfId="6" applyNumberFormat="1" applyFont="1" applyFill="1" applyBorder="1" applyAlignment="1" applyProtection="1">
      <alignment horizontal="right" vertical="center" wrapText="1"/>
    </xf>
    <xf numFmtId="167" fontId="4" fillId="2" borderId="4" xfId="6" applyNumberFormat="1" applyFont="1" applyFill="1" applyBorder="1" applyAlignment="1" applyProtection="1">
      <alignment horizontal="right" vertical="center" wrapText="1"/>
    </xf>
    <xf numFmtId="167" fontId="4" fillId="2" borderId="0" xfId="6" applyNumberFormat="1" applyFont="1" applyFill="1" applyBorder="1" applyAlignment="1" applyProtection="1">
      <alignment horizontal="right" vertical="center" wrapText="1"/>
    </xf>
    <xf numFmtId="167" fontId="4" fillId="2" borderId="24" xfId="6" applyNumberFormat="1" applyFont="1" applyFill="1" applyBorder="1" applyAlignment="1" applyProtection="1">
      <alignment horizontal="right" vertical="center" wrapText="1"/>
    </xf>
    <xf numFmtId="171" fontId="4" fillId="2" borderId="4" xfId="6" applyNumberFormat="1" applyFont="1" applyFill="1" applyBorder="1" applyAlignment="1" applyProtection="1">
      <alignment horizontal="right" vertical="center" wrapText="1"/>
    </xf>
    <xf numFmtId="168" fontId="4" fillId="2" borderId="0" xfId="6" applyNumberFormat="1" applyFont="1" applyFill="1" applyBorder="1" applyAlignment="1" applyProtection="1">
      <alignment horizontal="right" vertical="center" wrapText="1"/>
    </xf>
    <xf numFmtId="172" fontId="4" fillId="2" borderId="4" xfId="6" applyNumberFormat="1" applyFont="1" applyFill="1" applyBorder="1" applyAlignment="1" applyProtection="1">
      <alignment horizontal="right" vertical="center" wrapText="1"/>
    </xf>
    <xf numFmtId="168" fontId="4" fillId="2" borderId="24" xfId="6" applyNumberFormat="1" applyFont="1" applyFill="1" applyBorder="1" applyAlignment="1" applyProtection="1">
      <alignment horizontal="right" vertical="center" wrapText="1"/>
    </xf>
    <xf numFmtId="173" fontId="4" fillId="2" borderId="4" xfId="6" applyNumberFormat="1" applyFont="1" applyFill="1" applyBorder="1" applyAlignment="1" applyProtection="1">
      <alignment horizontal="right" vertical="center" wrapText="1"/>
    </xf>
    <xf numFmtId="3" fontId="4" fillId="3" borderId="4" xfId="6" applyNumberFormat="1" applyFont="1" applyFill="1" applyBorder="1" applyAlignment="1" applyProtection="1">
      <alignment horizontal="right" vertical="center" wrapText="1"/>
    </xf>
    <xf numFmtId="167" fontId="4" fillId="3" borderId="18" xfId="6" applyNumberFormat="1" applyFont="1" applyFill="1" applyBorder="1" applyAlignment="1" applyProtection="1">
      <alignment horizontal="right" vertical="center" wrapText="1"/>
    </xf>
    <xf numFmtId="3" fontId="4" fillId="3" borderId="0" xfId="6" applyNumberFormat="1" applyFont="1" applyFill="1" applyBorder="1" applyAlignment="1" applyProtection="1">
      <alignment horizontal="right" vertical="center" wrapText="1"/>
    </xf>
    <xf numFmtId="167" fontId="4" fillId="3" borderId="4" xfId="6" applyNumberFormat="1" applyFont="1" applyFill="1" applyBorder="1" applyAlignment="1" applyProtection="1">
      <alignment horizontal="right" vertical="center" wrapText="1"/>
    </xf>
    <xf numFmtId="167" fontId="4" fillId="3" borderId="0" xfId="6" applyNumberFormat="1" applyFont="1" applyFill="1" applyBorder="1" applyAlignment="1" applyProtection="1">
      <alignment horizontal="right" vertical="center" wrapText="1"/>
    </xf>
    <xf numFmtId="167" fontId="4" fillId="3" borderId="24" xfId="6" applyNumberFormat="1" applyFont="1" applyFill="1" applyBorder="1" applyAlignment="1" applyProtection="1">
      <alignment horizontal="right" vertical="center" wrapText="1"/>
    </xf>
    <xf numFmtId="3" fontId="4" fillId="2" borderId="6" xfId="6" applyNumberFormat="1" applyFont="1" applyFill="1" applyBorder="1" applyAlignment="1" applyProtection="1">
      <alignment horizontal="right" vertical="center" wrapText="1"/>
    </xf>
    <xf numFmtId="167" fontId="4" fillId="2" borderId="19" xfId="6" applyNumberFormat="1" applyFont="1" applyFill="1" applyBorder="1" applyAlignment="1" applyProtection="1">
      <alignment horizontal="right" vertical="center" wrapText="1"/>
    </xf>
    <xf numFmtId="3" fontId="4" fillId="2" borderId="1" xfId="6" applyNumberFormat="1" applyFont="1" applyFill="1" applyBorder="1" applyAlignment="1" applyProtection="1">
      <alignment horizontal="right" vertical="center" wrapText="1"/>
    </xf>
    <xf numFmtId="167" fontId="4" fillId="2" borderId="6" xfId="6" applyNumberFormat="1" applyFont="1" applyFill="1" applyBorder="1" applyAlignment="1" applyProtection="1">
      <alignment horizontal="right" vertical="center" wrapText="1"/>
    </xf>
    <xf numFmtId="167" fontId="4" fillId="2" borderId="1" xfId="6" applyNumberFormat="1" applyFont="1" applyFill="1" applyBorder="1" applyAlignment="1" applyProtection="1">
      <alignment horizontal="right" vertical="center" wrapText="1"/>
    </xf>
    <xf numFmtId="167" fontId="4" fillId="2" borderId="28" xfId="6" applyNumberFormat="1" applyFont="1" applyFill="1" applyBorder="1" applyAlignment="1" applyProtection="1">
      <alignment horizontal="right" vertical="center" wrapText="1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6">
    <cellStyle name="Komma" xfId="1" builtinId="3"/>
    <cellStyle name="Komma 2" xfId="4" xr:uid="{00000000-0005-0000-0000-000001000000}"/>
    <cellStyle name="Komma 2 2" xfId="15" xr:uid="{00000000-0005-0000-0000-000002000000}"/>
    <cellStyle name="Komma 3" xfId="6" xr:uid="{00000000-0005-0000-0000-000003000000}"/>
    <cellStyle name="Komma 4" xfId="14" xr:uid="{00000000-0005-0000-0000-000004000000}"/>
    <cellStyle name="Normale 2" xfId="13" xr:uid="{00000000-0005-0000-0000-000005000000}"/>
    <cellStyle name="Prozent" xfId="2" builtinId="5"/>
    <cellStyle name="Prozent 2" xfId="5" xr:uid="{00000000-0005-0000-0000-000007000000}"/>
    <cellStyle name="Standard" xfId="0" builtinId="0"/>
    <cellStyle name="Standard 2" xfId="3" xr:uid="{00000000-0005-0000-0000-000009000000}"/>
    <cellStyle name="Standard 2 2" xfId="10" xr:uid="{00000000-0005-0000-0000-00000A000000}"/>
    <cellStyle name="Standard 2 3" xfId="7" xr:uid="{00000000-0005-0000-0000-00000B000000}"/>
    <cellStyle name="Standard 3" xfId="8" xr:uid="{00000000-0005-0000-0000-00000C000000}"/>
    <cellStyle name="Standard 4" xfId="9" xr:uid="{00000000-0005-0000-0000-00000D000000}"/>
    <cellStyle name="Standard 4 2" xfId="11" xr:uid="{00000000-0005-0000-0000-00000E000000}"/>
    <cellStyle name="Standard 5" xfId="1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781050</xdr:colOff>
      <xdr:row>0</xdr:row>
      <xdr:rowOff>19050</xdr:rowOff>
    </xdr:from>
    <xdr:to>
      <xdr:col>6</xdr:col>
      <xdr:colOff>219689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200650" y="19050"/>
          <a:ext cx="2639039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2" cy="533405"/>
                <a:chOff x="6553200" y="374273"/>
                <a:chExt cx="1200152" cy="533405"/>
              </a:xfrm>
              <a:grpFill/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2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549275</xdr:colOff>
      <xdr:row>5</xdr:row>
      <xdr:rowOff>4202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/>
  </sheetViews>
  <sheetFormatPr baseColWidth="10" defaultColWidth="11.42578125" defaultRowHeight="12.75" x14ac:dyDescent="0.2"/>
  <cols>
    <col min="1" max="1" width="19.85546875" style="1" customWidth="1"/>
    <col min="2" max="2" width="46.42578125" style="1" customWidth="1"/>
    <col min="3" max="18" width="12" style="1" customWidth="1"/>
    <col min="19" max="16384" width="11.42578125" style="1"/>
  </cols>
  <sheetData>
    <row r="1" spans="1:18" s="2" customFormat="1" x14ac:dyDescent="0.2"/>
    <row r="2" spans="1:18" s="2" customFormat="1" ht="15.75" x14ac:dyDescent="0.25">
      <c r="B2" s="3"/>
      <c r="C2" s="1"/>
      <c r="D2" s="1"/>
    </row>
    <row r="3" spans="1:18" s="2" customFormat="1" ht="15.75" x14ac:dyDescent="0.25">
      <c r="B3" s="3"/>
      <c r="C3" s="1"/>
      <c r="D3" s="1"/>
    </row>
    <row r="4" spans="1:18" s="2" customFormat="1" ht="15.75" x14ac:dyDescent="0.25">
      <c r="B4" s="3"/>
      <c r="C4" s="1"/>
      <c r="D4" s="1"/>
    </row>
    <row r="5" spans="1:18" s="2" customFormat="1" x14ac:dyDescent="0.2"/>
    <row r="6" spans="1:18" s="2" customFormat="1" x14ac:dyDescent="0.2"/>
    <row r="7" spans="1:18" s="2" customFormat="1" ht="15.75" customHeight="1" x14ac:dyDescent="0.2">
      <c r="A7" s="85" t="str">
        <f>VLOOKUP("&lt;Fachbereich&gt;",Uebersetzungen!$B$3:$E$202,Uebersetzungen!$B$2+1,FALSE)</f>
        <v>Daten &amp; Statistik</v>
      </c>
      <c r="B7" s="85"/>
      <c r="C7" s="4"/>
      <c r="D7" s="4"/>
      <c r="E7" s="4"/>
      <c r="F7" s="4"/>
      <c r="G7" s="4"/>
      <c r="H7" s="4"/>
    </row>
    <row r="8" spans="1:18" s="2" customFormat="1" x14ac:dyDescent="0.2"/>
    <row r="9" spans="1:18" s="8" customFormat="1" ht="18" x14ac:dyDescent="0.2">
      <c r="A9" s="17" t="str">
        <f>VLOOKUP("&lt;Titel&gt;",Uebersetzungen!$B$3:$E$202,Uebersetzungen!$B$2+1,FALSE)</f>
        <v>Erwerbs- und Erwerbslosenquote nach Kanton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18" s="8" customFormat="1" ht="15" x14ac:dyDescent="0.2">
      <c r="A10" s="18" t="str">
        <f>VLOOKUP("&lt;UTitel&gt;",Uebersetzungen!$B$3:$E$202,Uebersetzungen!$B$2+1,FALSE)</f>
        <v>Ständige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spans="1:18" s="8" customFormat="1" ht="15.75" thickBot="1" x14ac:dyDescent="0.25">
      <c r="A11" s="18"/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</row>
    <row r="12" spans="1:18" ht="18" x14ac:dyDescent="0.25">
      <c r="B12" s="22"/>
      <c r="C12" s="76">
        <v>2024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8"/>
    </row>
    <row r="13" spans="1:18" ht="39" customHeight="1" x14ac:dyDescent="0.2">
      <c r="A13" s="10"/>
      <c r="B13" s="40"/>
      <c r="C13" s="86" t="str">
        <f>VLOOKUP("&lt;SpaltenTitel_1&gt;",Uebersetzungen!$B$3:$E$202,Uebersetzungen!$B$2+1,FALSE)</f>
        <v>Total Bevölkerung (ab 15 Jahren)</v>
      </c>
      <c r="D13" s="87"/>
      <c r="E13" s="83" t="str">
        <f>VLOOKUP("&lt;SpaltenTitel_2&gt;",Uebersetzungen!$B$3:$E$202,Uebersetzungen!$B$2+1,FALSE)</f>
        <v>Total Erwerbspersonen (ab 15 Jahren)</v>
      </c>
      <c r="F13" s="83"/>
      <c r="G13" s="83" t="str">
        <f>VLOOKUP("&lt;SpaltenTitel_3&gt;",Uebersetzungen!$B$3:$E$202,Uebersetzungen!$B$2+1,FALSE)</f>
        <v>Standardisierte Erwerbsquote (ab 15 Jahren)</v>
      </c>
      <c r="H13" s="83"/>
      <c r="I13" s="83" t="str">
        <f>VLOOKUP("&lt;SpaltenTitel_4&gt;",Uebersetzungen!$B$3:$E$202,Uebersetzungen!$B$2+1,FALSE)</f>
        <v>Total Bevölkerung (15 bis 64 Jahre)</v>
      </c>
      <c r="J13" s="83"/>
      <c r="K13" s="83" t="str">
        <f>VLOOKUP("&lt;SpaltenTitel_5&gt;",Uebersetzungen!$B$3:$E$202,Uebersetzungen!$B$2+1,FALSE)</f>
        <v>Total Erwerbspersonen (15 bis 64 Jahre)</v>
      </c>
      <c r="L13" s="83"/>
      <c r="M13" s="83" t="str">
        <f>VLOOKUP("&lt;SpaltenTitel_6&gt;",Uebersetzungen!$B$3:$E$202,Uebersetzungen!$B$2+1,FALSE)</f>
        <v>Total Erwerbslose (15 bis 64 Jahre)</v>
      </c>
      <c r="N13" s="83"/>
      <c r="O13" s="83" t="str">
        <f>VLOOKUP("&lt;SpaltenTitel_7&gt;",Uebersetzungen!$B$3:$E$202,Uebersetzungen!$B$2+1,FALSE)</f>
        <v>Nettoerwerbsquote (15 bis 64 Jahre)</v>
      </c>
      <c r="P13" s="83"/>
      <c r="Q13" s="83" t="str">
        <f>VLOOKUP("&lt;SpaltenTitel_8&gt;",Uebersetzungen!$B$3:$E$202,Uebersetzungen!$B$2+1,FALSE)</f>
        <v>Erwerbslosenquote (15 bis 64 Jahre)</v>
      </c>
      <c r="R13" s="84"/>
    </row>
    <row r="14" spans="1:18" ht="39.75" customHeight="1" thickBot="1" x14ac:dyDescent="0.25">
      <c r="A14" s="19"/>
      <c r="B14" s="19"/>
      <c r="C14" s="43" t="str">
        <f>VLOOKUP("&lt;SpaltenTitel_1.1&gt;",Uebersetzungen!$B$3:$E$202,Uebersetzungen!$B$2+1,FALSE)</f>
        <v>Anzahl Personen</v>
      </c>
      <c r="D14" s="42" t="str">
        <f>VLOOKUP("&lt;SpaltenTitel_1.2&gt;",Uebersetzungen!$B$3:$E$202,Uebersetzungen!$B$2+1,FALSE)</f>
        <v>Vertrauens- intervall:          ± (in %)</v>
      </c>
      <c r="E14" s="41" t="str">
        <f>VLOOKUP("&lt;SpaltenTitel_1.1&gt;",Uebersetzungen!$B$3:$E$202,Uebersetzungen!$B$2+1,FALSE)</f>
        <v>Anzahl Personen</v>
      </c>
      <c r="F14" s="42" t="str">
        <f>VLOOKUP("&lt;SpaltenTitel_1.2&gt;",Uebersetzungen!$B$3:$E$202,Uebersetzungen!$B$2+1,FALSE)</f>
        <v>Vertrauens- intervall:          ± (in %)</v>
      </c>
      <c r="G14" s="44" t="str">
        <f>VLOOKUP("&lt;SpaltenTitel_1.3&gt;",Uebersetzungen!$B$3:$E$202,Uebersetzungen!$B$2+1,FALSE)</f>
        <v>in %</v>
      </c>
      <c r="H14" s="45" t="str">
        <f>VLOOKUP("&lt;SpaltenTitel_1.2&gt;",Uebersetzungen!$B$3:$E$202,Uebersetzungen!$B$2+1,FALSE)</f>
        <v>Vertrauens- intervall:          ± (in %)</v>
      </c>
      <c r="I14" s="44" t="str">
        <f>VLOOKUP("&lt;SpaltenTitel_1.1&gt;",Uebersetzungen!$B$3:$E$202,Uebersetzungen!$B$2+1,FALSE)</f>
        <v>Anzahl Personen</v>
      </c>
      <c r="J14" s="42" t="str">
        <f>VLOOKUP("&lt;SpaltenTitel_1.2&gt;",Uebersetzungen!$B$3:$E$202,Uebersetzungen!$B$2+1,FALSE)</f>
        <v>Vertrauens- intervall:          ± (in %)</v>
      </c>
      <c r="K14" s="41" t="str">
        <f>VLOOKUP("&lt;SpaltenTitel_1.1&gt;",Uebersetzungen!$B$3:$E$202,Uebersetzungen!$B$2+1,FALSE)</f>
        <v>Anzahl Personen</v>
      </c>
      <c r="L14" s="42" t="str">
        <f>VLOOKUP("&lt;SpaltenTitel_1.2&gt;",Uebersetzungen!$B$3:$E$202,Uebersetzungen!$B$2+1,FALSE)</f>
        <v>Vertrauens- intervall:          ± (in %)</v>
      </c>
      <c r="M14" s="44" t="str">
        <f>VLOOKUP("&lt;SpaltenTitel_1.1&gt;",Uebersetzungen!$B$3:$E$202,Uebersetzungen!$B$2+1,FALSE)</f>
        <v>Anzahl Personen</v>
      </c>
      <c r="N14" s="45" t="str">
        <f>VLOOKUP("&lt;SpaltenTitel_1.2&gt;",Uebersetzungen!$B$3:$E$202,Uebersetzungen!$B$2+1,FALSE)</f>
        <v>Vertrauens- intervall:          ± (in %)</v>
      </c>
      <c r="O14" s="44" t="str">
        <f>VLOOKUP("&lt;SpaltenTitel_1.3&gt;",Uebersetzungen!$B$3:$E$202,Uebersetzungen!$B$2+1,FALSE)</f>
        <v>in %</v>
      </c>
      <c r="P14" s="42" t="str">
        <f>VLOOKUP("&lt;SpaltenTitel_1.2&gt;",Uebersetzungen!$B$3:$E$202,Uebersetzungen!$B$2+1,FALSE)</f>
        <v>Vertrauens- intervall:          ± (in %)</v>
      </c>
      <c r="Q14" s="44" t="str">
        <f>VLOOKUP("&lt;SpaltenTitel_1.3&gt;",Uebersetzungen!$B$3:$E$202,Uebersetzungen!$B$2+1,FALSE)</f>
        <v>in %</v>
      </c>
      <c r="R14" s="46" t="str">
        <f>VLOOKUP("&lt;SpaltenTitel_1.2&gt;",Uebersetzungen!$B$3:$E$202,Uebersetzungen!$B$2+1,FALSE)</f>
        <v>Vertrauens- intervall:          ± (in %)</v>
      </c>
    </row>
    <row r="15" spans="1:18" ht="12" customHeight="1" x14ac:dyDescent="0.2">
      <c r="A15" s="81" t="str">
        <f>VLOOKUP("&lt;Zeilentitel_1&gt;",Uebersetzungen!$B$3:$E$201,Uebersetzungen!$B$2+1,FALSE)</f>
        <v>Total</v>
      </c>
      <c r="B15" s="82"/>
      <c r="C15" s="47">
        <v>7507509.0000000261</v>
      </c>
      <c r="D15" s="48">
        <v>5.6008377682885295E-2</v>
      </c>
      <c r="E15" s="49">
        <v>4824333.0213821745</v>
      </c>
      <c r="F15" s="48">
        <v>0.30004687710093625</v>
      </c>
      <c r="G15" s="50">
        <v>64.260103069901859</v>
      </c>
      <c r="H15" s="51">
        <v>0.1850306154011605</v>
      </c>
      <c r="I15" s="47">
        <v>5827334.0000000158</v>
      </c>
      <c r="J15" s="48">
        <v>0.22900414831137178</v>
      </c>
      <c r="K15" s="49">
        <v>4684937.0343738142</v>
      </c>
      <c r="L15" s="48">
        <v>0.31316013349022809</v>
      </c>
      <c r="M15" s="47">
        <v>240624.98626128919</v>
      </c>
      <c r="N15" s="51">
        <v>2.210064755762041</v>
      </c>
      <c r="O15" s="50">
        <v>80.395890030909513</v>
      </c>
      <c r="P15" s="48">
        <v>0.17901844965054181</v>
      </c>
      <c r="Q15" s="50">
        <v>5.1361413076803721</v>
      </c>
      <c r="R15" s="52">
        <v>0.11189750938904108</v>
      </c>
    </row>
    <row r="16" spans="1:18" x14ac:dyDescent="0.2">
      <c r="A16" s="79" t="str">
        <f>VLOOKUP("&lt;Zeilentitel_2&gt;",Uebersetzungen!$B$3:$E$201,Uebersetzungen!$B$2+1,FALSE)</f>
        <v>Kanton</v>
      </c>
      <c r="B16" s="20" t="str">
        <f>VLOOKUP("&lt;Zeilentitel_2.1&gt;",Uebersetzungen!$B$3:$E$201,Uebersetzungen!$B$2+1,FALSE)</f>
        <v>Zürich</v>
      </c>
      <c r="C16" s="53">
        <v>1347408.0000000005</v>
      </c>
      <c r="D16" s="54">
        <v>0.14609697640702177</v>
      </c>
      <c r="E16" s="55">
        <v>919188.77478820179</v>
      </c>
      <c r="F16" s="54">
        <v>0.71800827307342097</v>
      </c>
      <c r="G16" s="56">
        <v>68.219037944572207</v>
      </c>
      <c r="H16" s="57">
        <v>0.4717404560985301</v>
      </c>
      <c r="I16" s="53">
        <v>1078856.0000000035</v>
      </c>
      <c r="J16" s="54">
        <v>0.55640630688505499</v>
      </c>
      <c r="K16" s="55">
        <v>893236.99133673264</v>
      </c>
      <c r="L16" s="54">
        <v>0.7518997727504303</v>
      </c>
      <c r="M16" s="53">
        <v>40775.710591173593</v>
      </c>
      <c r="N16" s="57">
        <v>6.0529615230248481</v>
      </c>
      <c r="O16" s="56">
        <v>82.794830017790119</v>
      </c>
      <c r="P16" s="54">
        <v>0.44531052621816514</v>
      </c>
      <c r="Q16" s="56">
        <v>4.5649375234844021</v>
      </c>
      <c r="R16" s="58">
        <v>0.2731947803431316</v>
      </c>
    </row>
    <row r="17" spans="1:18" x14ac:dyDescent="0.2">
      <c r="A17" s="79"/>
      <c r="B17" s="20" t="str">
        <f>VLOOKUP("&lt;Zeilentitel_2.2&gt;",Uebersetzungen!$B$3:$E$201,Uebersetzungen!$B$2+1,FALSE)</f>
        <v>Bern</v>
      </c>
      <c r="C17" s="53">
        <v>895907.00000001758</v>
      </c>
      <c r="D17" s="54">
        <v>0.15512405708293792</v>
      </c>
      <c r="E17" s="55">
        <v>573917.720001732</v>
      </c>
      <c r="F17" s="54">
        <v>0.95534475439532029</v>
      </c>
      <c r="G17" s="56">
        <v>64.059966045774914</v>
      </c>
      <c r="H17" s="57">
        <v>0.58291216242548671</v>
      </c>
      <c r="I17" s="53">
        <v>669020.00000001048</v>
      </c>
      <c r="J17" s="54">
        <v>0.77447405157310534</v>
      </c>
      <c r="K17" s="55">
        <v>555312.27602394554</v>
      </c>
      <c r="L17" s="54">
        <v>1.0013886874914188</v>
      </c>
      <c r="M17" s="53">
        <v>19994.669890411362</v>
      </c>
      <c r="N17" s="57">
        <v>8.7022247844042031</v>
      </c>
      <c r="O17" s="56">
        <v>83.003837855958992</v>
      </c>
      <c r="P17" s="54">
        <v>0.55110261032403685</v>
      </c>
      <c r="Q17" s="56">
        <v>3.6006173019573504</v>
      </c>
      <c r="R17" s="58">
        <v>0.31003852412544664</v>
      </c>
    </row>
    <row r="18" spans="1:18" x14ac:dyDescent="0.2">
      <c r="A18" s="79"/>
      <c r="B18" s="20" t="str">
        <f>VLOOKUP("&lt;Zeilentitel_2.3&gt;",Uebersetzungen!$B$3:$E$201,Uebersetzungen!$B$2+1,FALSE)</f>
        <v>Luzern</v>
      </c>
      <c r="C18" s="53">
        <v>363523.00000000111</v>
      </c>
      <c r="D18" s="54">
        <v>0.19345630722242835</v>
      </c>
      <c r="E18" s="55">
        <v>244689.73600269365</v>
      </c>
      <c r="F18" s="54">
        <v>0.9904215936483991</v>
      </c>
      <c r="G18" s="56">
        <v>67.310661499463009</v>
      </c>
      <c r="H18" s="57">
        <v>0.63717131497085688</v>
      </c>
      <c r="I18" s="53">
        <v>285020.99999999953</v>
      </c>
      <c r="J18" s="54">
        <v>0.7851950647204432</v>
      </c>
      <c r="K18" s="55">
        <v>238142.46802429276</v>
      </c>
      <c r="L18" s="54">
        <v>1.0331111138684637</v>
      </c>
      <c r="M18" s="53">
        <v>7640.4190257744385</v>
      </c>
      <c r="N18" s="57">
        <v>10.00856372435349</v>
      </c>
      <c r="O18" s="56">
        <v>83.552604202600207</v>
      </c>
      <c r="P18" s="54">
        <v>0.59269487729348214</v>
      </c>
      <c r="Q18" s="56">
        <v>3.2083395662948475</v>
      </c>
      <c r="R18" s="58">
        <v>0.31819061739432808</v>
      </c>
    </row>
    <row r="19" spans="1:18" x14ac:dyDescent="0.2">
      <c r="A19" s="79"/>
      <c r="B19" s="20" t="str">
        <f>VLOOKUP("&lt;Zeilentitel_2.4&gt;",Uebersetzungen!$B$3:$E$201,Uebersetzungen!$B$2+1,FALSE)</f>
        <v>Uri</v>
      </c>
      <c r="C19" s="53">
        <v>31946.000000000313</v>
      </c>
      <c r="D19" s="54">
        <v>0.8850399277701535</v>
      </c>
      <c r="E19" s="55">
        <v>20709.394004141992</v>
      </c>
      <c r="F19" s="54">
        <v>4.9654770676470346</v>
      </c>
      <c r="G19" s="56">
        <v>64.826250560764379</v>
      </c>
      <c r="H19" s="57">
        <v>3.0785416698363548</v>
      </c>
      <c r="I19" s="53">
        <v>24138.377499528135</v>
      </c>
      <c r="J19" s="54">
        <v>4.0217153131074204</v>
      </c>
      <c r="K19" s="55">
        <v>20105.905429192197</v>
      </c>
      <c r="L19" s="54">
        <v>5.1867309828098538</v>
      </c>
      <c r="M19" s="59">
        <v>452.09149919897823</v>
      </c>
      <c r="N19" s="60">
        <v>58.611828355593609</v>
      </c>
      <c r="O19" s="56">
        <v>83.29435327451165</v>
      </c>
      <c r="P19" s="54">
        <v>2.8940220341785334</v>
      </c>
      <c r="Q19" s="61">
        <v>2.24855080907014</v>
      </c>
      <c r="R19" s="62">
        <v>1.3089142060255248</v>
      </c>
    </row>
    <row r="20" spans="1:18" x14ac:dyDescent="0.2">
      <c r="A20" s="79"/>
      <c r="B20" s="20" t="str">
        <f>VLOOKUP("&lt;Zeilentitel_2.5&gt;",Uebersetzungen!$B$3:$E$201,Uebersetzungen!$B$2+1,FALSE)</f>
        <v>Schwyz</v>
      </c>
      <c r="C20" s="53">
        <v>142109.00000000233</v>
      </c>
      <c r="D20" s="54">
        <v>0.38530191072084874</v>
      </c>
      <c r="E20" s="55">
        <v>95383.912508419628</v>
      </c>
      <c r="F20" s="54">
        <v>2.2270367029792935</v>
      </c>
      <c r="G20" s="56">
        <v>67.120247492008289</v>
      </c>
      <c r="H20" s="57">
        <v>1.4461158533389806</v>
      </c>
      <c r="I20" s="53">
        <v>110397.0000000016</v>
      </c>
      <c r="J20" s="54">
        <v>1.7735482552936623</v>
      </c>
      <c r="K20" s="55">
        <v>92395.927174143697</v>
      </c>
      <c r="L20" s="54">
        <v>2.3400903346127699</v>
      </c>
      <c r="M20" s="53">
        <v>2641.5982610933374</v>
      </c>
      <c r="N20" s="57">
        <v>23.375465100340143</v>
      </c>
      <c r="O20" s="56">
        <v>83.694237319983657</v>
      </c>
      <c r="P20" s="54">
        <v>1.3301487666175831</v>
      </c>
      <c r="Q20" s="56">
        <v>2.8589985964582305</v>
      </c>
      <c r="R20" s="58">
        <v>0.66371731446757032</v>
      </c>
    </row>
    <row r="21" spans="1:18" x14ac:dyDescent="0.2">
      <c r="A21" s="79"/>
      <c r="B21" s="20" t="str">
        <f>VLOOKUP("&lt;Zeilentitel_2.6&gt;",Uebersetzungen!$B$3:$E$201,Uebersetzungen!$B$2+1,FALSE)</f>
        <v>Obwalden</v>
      </c>
      <c r="C21" s="53">
        <v>33148.999999999549</v>
      </c>
      <c r="D21" s="54">
        <v>0.645748779927245</v>
      </c>
      <c r="E21" s="55">
        <v>21888.195363984101</v>
      </c>
      <c r="F21" s="54">
        <v>4.7861193500321129</v>
      </c>
      <c r="G21" s="56">
        <v>66.029730501627199</v>
      </c>
      <c r="H21" s="57">
        <v>3.0624901702549749</v>
      </c>
      <c r="I21" s="53">
        <v>25160.999999999654</v>
      </c>
      <c r="J21" s="54">
        <v>3.8010514391616828</v>
      </c>
      <c r="K21" s="55">
        <v>20857.940590257189</v>
      </c>
      <c r="L21" s="54">
        <v>5.1250506155464706</v>
      </c>
      <c r="M21" s="59">
        <v>428.84811043379847</v>
      </c>
      <c r="N21" s="60">
        <v>58.488838597612066</v>
      </c>
      <c r="O21" s="56">
        <v>82.897899885765568</v>
      </c>
      <c r="P21" s="54">
        <v>2.8091329192023693</v>
      </c>
      <c r="Q21" s="61">
        <v>2.0560424389841949</v>
      </c>
      <c r="R21" s="62">
        <v>1.1968449599716942</v>
      </c>
    </row>
    <row r="22" spans="1:18" x14ac:dyDescent="0.2">
      <c r="A22" s="79"/>
      <c r="B22" s="20" t="str">
        <f>VLOOKUP("&lt;Zeilentitel_2.7&gt;",Uebersetzungen!$B$3:$E$201,Uebersetzungen!$B$2+1,FALSE)</f>
        <v>Nidwalden</v>
      </c>
      <c r="C22" s="53">
        <v>38597.999999999854</v>
      </c>
      <c r="D22" s="54">
        <v>0.64669126821320666</v>
      </c>
      <c r="E22" s="55">
        <v>24362.928319156399</v>
      </c>
      <c r="F22" s="54">
        <v>4.4398560005495389</v>
      </c>
      <c r="G22" s="56">
        <v>63.119665058180452</v>
      </c>
      <c r="H22" s="57">
        <v>2.7982117798989563</v>
      </c>
      <c r="I22" s="53">
        <v>28527.999999999913</v>
      </c>
      <c r="J22" s="54">
        <v>3.5294380956977522</v>
      </c>
      <c r="K22" s="55">
        <v>23570.616318147248</v>
      </c>
      <c r="L22" s="54">
        <v>4.6434578203598917</v>
      </c>
      <c r="M22" s="59">
        <v>458.87245001425526</v>
      </c>
      <c r="N22" s="60">
        <v>56.187928235066742</v>
      </c>
      <c r="O22" s="56">
        <v>82.622743683915161</v>
      </c>
      <c r="P22" s="54">
        <v>2.5982346698749126</v>
      </c>
      <c r="Q22" s="61">
        <v>1.9467986913051776</v>
      </c>
      <c r="R22" s="62">
        <v>1.0875292516098642</v>
      </c>
    </row>
    <row r="23" spans="1:18" x14ac:dyDescent="0.2">
      <c r="A23" s="79"/>
      <c r="B23" s="20" t="str">
        <f>VLOOKUP("&lt;Zeilentitel_2.8&gt;",Uebersetzungen!$B$3:$E$201,Uebersetzungen!$B$2+1,FALSE)</f>
        <v>Glarus</v>
      </c>
      <c r="C23" s="53">
        <v>35219.999999999513</v>
      </c>
      <c r="D23" s="54">
        <v>0.82822125379187028</v>
      </c>
      <c r="E23" s="55">
        <v>22884.244719341834</v>
      </c>
      <c r="F23" s="54">
        <v>4.8947828316667499</v>
      </c>
      <c r="G23" s="56">
        <v>64.975141167922061</v>
      </c>
      <c r="H23" s="57">
        <v>3.0472459690163589</v>
      </c>
      <c r="I23" s="53">
        <v>27013.92915210878</v>
      </c>
      <c r="J23" s="54">
        <v>3.8580204860723875</v>
      </c>
      <c r="K23" s="55">
        <v>22188.013501906935</v>
      </c>
      <c r="L23" s="54">
        <v>5.1212018437120506</v>
      </c>
      <c r="M23" s="59">
        <v>510.29257546799096</v>
      </c>
      <c r="N23" s="60">
        <v>56.472291581130825</v>
      </c>
      <c r="O23" s="56">
        <v>82.135454553729289</v>
      </c>
      <c r="P23" s="54">
        <v>2.9105241254885215</v>
      </c>
      <c r="Q23" s="61">
        <v>2.2998569719823454</v>
      </c>
      <c r="R23" s="62">
        <v>1.2904047504689133</v>
      </c>
    </row>
    <row r="24" spans="1:18" x14ac:dyDescent="0.2">
      <c r="A24" s="79"/>
      <c r="B24" s="20" t="str">
        <f>VLOOKUP("&lt;Zeilentitel_2.9&gt;",Uebersetzungen!$B$3:$E$201,Uebersetzungen!$B$2+1,FALSE)</f>
        <v>Zug</v>
      </c>
      <c r="C24" s="53">
        <v>111082.99999999785</v>
      </c>
      <c r="D24" s="54">
        <v>0.30180082167526179</v>
      </c>
      <c r="E24" s="55">
        <v>73728.154201331359</v>
      </c>
      <c r="F24" s="54">
        <v>1.7443809547009015</v>
      </c>
      <c r="G24" s="56">
        <v>66.372130930324886</v>
      </c>
      <c r="H24" s="57">
        <v>1.150844912376769</v>
      </c>
      <c r="I24" s="53">
        <v>87681.99999999821</v>
      </c>
      <c r="J24" s="54">
        <v>1.3201677992785279</v>
      </c>
      <c r="K24" s="55">
        <v>71333.350597867175</v>
      </c>
      <c r="L24" s="54">
        <v>1.8320598448593521</v>
      </c>
      <c r="M24" s="53">
        <v>3256.6338514202976</v>
      </c>
      <c r="N24" s="57">
        <v>14.45736022788215</v>
      </c>
      <c r="O24" s="56">
        <v>81.354611662449116</v>
      </c>
      <c r="P24" s="54">
        <v>1.0936013805064846</v>
      </c>
      <c r="Q24" s="56">
        <v>4.5653734531259635</v>
      </c>
      <c r="R24" s="58">
        <v>0.65268644789461394</v>
      </c>
    </row>
    <row r="25" spans="1:18" x14ac:dyDescent="0.2">
      <c r="A25" s="79"/>
      <c r="B25" s="20" t="str">
        <f>VLOOKUP("&lt;Zeilentitel_2.10&gt;",Uebersetzungen!$B$3:$E$201,Uebersetzungen!$B$2+1,FALSE)</f>
        <v>Freiburg</v>
      </c>
      <c r="C25" s="53">
        <v>283762.9999999986</v>
      </c>
      <c r="D25" s="54">
        <v>0.32445426787499809</v>
      </c>
      <c r="E25" s="55">
        <v>185893.63348911583</v>
      </c>
      <c r="F25" s="54">
        <v>1.6387116427178554</v>
      </c>
      <c r="G25" s="56">
        <v>65.510173450772911</v>
      </c>
      <c r="H25" s="57">
        <v>1.0402877055448698</v>
      </c>
      <c r="I25" s="53">
        <v>227745.9999999998</v>
      </c>
      <c r="J25" s="54">
        <v>1.1901031204780581</v>
      </c>
      <c r="K25" s="55">
        <v>182228.3371748694</v>
      </c>
      <c r="L25" s="54">
        <v>1.687595054204434</v>
      </c>
      <c r="M25" s="53">
        <v>8990.9235134920436</v>
      </c>
      <c r="N25" s="57">
        <v>12.931114892409392</v>
      </c>
      <c r="O25" s="56">
        <v>80.013847520865156</v>
      </c>
      <c r="P25" s="54">
        <v>1.0088545993314284</v>
      </c>
      <c r="Q25" s="56">
        <v>4.9338778221217012</v>
      </c>
      <c r="R25" s="58">
        <v>0.62898333838524945</v>
      </c>
    </row>
    <row r="26" spans="1:18" x14ac:dyDescent="0.2">
      <c r="A26" s="79"/>
      <c r="B26" s="20" t="str">
        <f>VLOOKUP("&lt;Zeilentitel_2.11&gt;",Uebersetzungen!$B$3:$E$201,Uebersetzungen!$B$2+1,FALSE)</f>
        <v>Solothurn</v>
      </c>
      <c r="C26" s="53">
        <v>243244.0000000053</v>
      </c>
      <c r="D26" s="54">
        <v>0.37149545326771616</v>
      </c>
      <c r="E26" s="55">
        <v>153565.08733650213</v>
      </c>
      <c r="F26" s="54">
        <v>1.9171336880607366</v>
      </c>
      <c r="G26" s="56">
        <v>63.132117271751319</v>
      </c>
      <c r="H26" s="57">
        <v>1.1565059065539387</v>
      </c>
      <c r="I26" s="53">
        <v>184446.00000000349</v>
      </c>
      <c r="J26" s="54">
        <v>1.484575388740661</v>
      </c>
      <c r="K26" s="55">
        <v>149222.57264055233</v>
      </c>
      <c r="L26" s="54">
        <v>1.9956425808667555</v>
      </c>
      <c r="M26" s="53">
        <v>7081.7172929580202</v>
      </c>
      <c r="N26" s="57">
        <v>14.925360302551516</v>
      </c>
      <c r="O26" s="56">
        <v>80.903122128183597</v>
      </c>
      <c r="P26" s="54">
        <v>1.117881713108261</v>
      </c>
      <c r="Q26" s="56">
        <v>4.745741322940777</v>
      </c>
      <c r="R26" s="58">
        <v>0.69814494561954632</v>
      </c>
    </row>
    <row r="27" spans="1:18" x14ac:dyDescent="0.2">
      <c r="A27" s="79"/>
      <c r="B27" s="20" t="str">
        <f>VLOOKUP("&lt;Zeilentitel_2.12&gt;",Uebersetzungen!$B$3:$E$201,Uebersetzungen!$B$2+1,FALSE)</f>
        <v>Basel-Stadt</v>
      </c>
      <c r="C27" s="53">
        <v>168790.99999999834</v>
      </c>
      <c r="D27" s="54">
        <v>0.48378807353463005</v>
      </c>
      <c r="E27" s="55">
        <v>106891.93348575817</v>
      </c>
      <c r="F27" s="54">
        <v>2.2570261515729801</v>
      </c>
      <c r="G27" s="56">
        <v>63.327981637503903</v>
      </c>
      <c r="H27" s="57">
        <v>1.4268409266900548</v>
      </c>
      <c r="I27" s="53">
        <v>131840.99999999854</v>
      </c>
      <c r="J27" s="54">
        <v>1.6929461656620901</v>
      </c>
      <c r="K27" s="55">
        <v>103688.12617982637</v>
      </c>
      <c r="L27" s="54">
        <v>2.3534403694042738</v>
      </c>
      <c r="M27" s="53">
        <v>6828.2094584465158</v>
      </c>
      <c r="N27" s="57">
        <v>14.893970969700129</v>
      </c>
      <c r="O27" s="56">
        <v>78.6463438382806</v>
      </c>
      <c r="P27" s="54">
        <v>1.4298486488340387</v>
      </c>
      <c r="Q27" s="56">
        <v>6.5853340300550371</v>
      </c>
      <c r="R27" s="58">
        <v>0.96359032462358218</v>
      </c>
    </row>
    <row r="28" spans="1:18" x14ac:dyDescent="0.2">
      <c r="A28" s="79"/>
      <c r="B28" s="20" t="str">
        <f>VLOOKUP("&lt;Zeilentitel_2.13&gt;",Uebersetzungen!$B$3:$E$201,Uebersetzungen!$B$2+1,FALSE)</f>
        <v>Basel-Landschaft</v>
      </c>
      <c r="C28" s="53">
        <v>253309.00000000332</v>
      </c>
      <c r="D28" s="54">
        <v>0.31598533704060988</v>
      </c>
      <c r="E28" s="55">
        <v>151925.81574666605</v>
      </c>
      <c r="F28" s="54">
        <v>1.9491639640523593</v>
      </c>
      <c r="G28" s="56">
        <v>59.976477640614448</v>
      </c>
      <c r="H28" s="57">
        <v>1.134354128146569</v>
      </c>
      <c r="I28" s="53">
        <v>186512.00000000227</v>
      </c>
      <c r="J28" s="54">
        <v>1.5019852494652621</v>
      </c>
      <c r="K28" s="55">
        <v>146537.05812479547</v>
      </c>
      <c r="L28" s="54">
        <v>2.0413147064242385</v>
      </c>
      <c r="M28" s="53">
        <v>7547.6816232748934</v>
      </c>
      <c r="N28" s="57">
        <v>14.291853061193624</v>
      </c>
      <c r="O28" s="56">
        <v>78.567093873205835</v>
      </c>
      <c r="P28" s="54">
        <v>1.1502126284923975</v>
      </c>
      <c r="Q28" s="56">
        <v>5.1506982055331436</v>
      </c>
      <c r="R28" s="58">
        <v>0.72370480057890152</v>
      </c>
    </row>
    <row r="29" spans="1:18" x14ac:dyDescent="0.2">
      <c r="A29" s="79"/>
      <c r="B29" s="20" t="str">
        <f>VLOOKUP("&lt;Zeilentitel_2.14&gt;",Uebersetzungen!$B$3:$E$201,Uebersetzungen!$B$2+1,FALSE)</f>
        <v>Schaffhausen</v>
      </c>
      <c r="C29" s="53">
        <v>74427.999999999432</v>
      </c>
      <c r="D29" s="54">
        <v>0.63817975574600949</v>
      </c>
      <c r="E29" s="55">
        <v>45754.786520008682</v>
      </c>
      <c r="F29" s="54">
        <v>3.6742526469547032</v>
      </c>
      <c r="G29" s="56">
        <v>61.475233138078458</v>
      </c>
      <c r="H29" s="57">
        <v>2.1197866705805595</v>
      </c>
      <c r="I29" s="53">
        <v>55936.999999999782</v>
      </c>
      <c r="J29" s="54">
        <v>2.8219616304506809</v>
      </c>
      <c r="K29" s="55">
        <v>44271.30408598308</v>
      </c>
      <c r="L29" s="54">
        <v>3.8464287473604388</v>
      </c>
      <c r="M29" s="63">
        <v>1745.2313058683858</v>
      </c>
      <c r="N29" s="60">
        <v>29.533224210589307</v>
      </c>
      <c r="O29" s="56">
        <v>79.144938209026677</v>
      </c>
      <c r="P29" s="54">
        <v>2.128519767053632</v>
      </c>
      <c r="Q29" s="61">
        <v>3.9421276194593737</v>
      </c>
      <c r="R29" s="62">
        <v>1.1524206112459101</v>
      </c>
    </row>
    <row r="30" spans="1:18" x14ac:dyDescent="0.2">
      <c r="A30" s="79"/>
      <c r="B30" s="20" t="str">
        <f>VLOOKUP("&lt;Zeilentitel_2.15&gt;",Uebersetzungen!$B$3:$E$201,Uebersetzungen!$B$2+1,FALSE)</f>
        <v>Appenzell Ausserrhoden</v>
      </c>
      <c r="C30" s="53">
        <v>46838.000000000349</v>
      </c>
      <c r="D30" s="54">
        <v>0.83967259033928432</v>
      </c>
      <c r="E30" s="55">
        <v>30312.426214540017</v>
      </c>
      <c r="F30" s="54">
        <v>4.2318626985810788</v>
      </c>
      <c r="G30" s="56">
        <v>64.717593011101656</v>
      </c>
      <c r="H30" s="57">
        <v>2.5886257207319119</v>
      </c>
      <c r="I30" s="53">
        <v>35243.000000000306</v>
      </c>
      <c r="J30" s="54">
        <v>3.402517869197859</v>
      </c>
      <c r="K30" s="55">
        <v>28896.014723947304</v>
      </c>
      <c r="L30" s="54">
        <v>4.5311688737063118</v>
      </c>
      <c r="M30" s="59">
        <v>923.44744807105951</v>
      </c>
      <c r="N30" s="60">
        <v>41.843944714555157</v>
      </c>
      <c r="O30" s="56">
        <v>81.990791714516504</v>
      </c>
      <c r="P30" s="54">
        <v>2.4512332062800652</v>
      </c>
      <c r="Q30" s="61">
        <v>3.1957605811494858</v>
      </c>
      <c r="R30" s="62">
        <v>1.3238174942654881</v>
      </c>
    </row>
    <row r="31" spans="1:18" x14ac:dyDescent="0.2">
      <c r="A31" s="79"/>
      <c r="B31" s="20" t="str">
        <f>VLOOKUP("&lt;Zeilentitel_2.16&gt;",Uebersetzungen!$B$3:$E$201,Uebersetzungen!$B$2+1,FALSE)</f>
        <v>Appenzell Innerrhoden</v>
      </c>
      <c r="C31" s="53">
        <v>13807.999999999938</v>
      </c>
      <c r="D31" s="54">
        <v>1.1928774840542644</v>
      </c>
      <c r="E31" s="55">
        <v>8783.6274753500038</v>
      </c>
      <c r="F31" s="54">
        <v>7.7719973065643417</v>
      </c>
      <c r="G31" s="56">
        <v>63.612597590889649</v>
      </c>
      <c r="H31" s="57">
        <v>4.765945309967492</v>
      </c>
      <c r="I31" s="53">
        <v>9657.6933483629036</v>
      </c>
      <c r="J31" s="54">
        <v>7.0048917757965015</v>
      </c>
      <c r="K31" s="55">
        <v>8079.0144904293493</v>
      </c>
      <c r="L31" s="54">
        <v>8.6936612463103078</v>
      </c>
      <c r="M31" s="53" t="s">
        <v>203</v>
      </c>
      <c r="N31" s="57" t="s">
        <v>203</v>
      </c>
      <c r="O31" s="56">
        <v>83.653665518369763</v>
      </c>
      <c r="P31" s="54">
        <v>4.5942918023478256</v>
      </c>
      <c r="Q31" s="56" t="s">
        <v>203</v>
      </c>
      <c r="R31" s="58" t="s">
        <v>203</v>
      </c>
    </row>
    <row r="32" spans="1:18" x14ac:dyDescent="0.2">
      <c r="A32" s="79"/>
      <c r="B32" s="20" t="str">
        <f>VLOOKUP("&lt;Zeilentitel_2.17&gt;",Uebersetzungen!$B$3:$E$201,Uebersetzungen!$B$2+1,FALSE)</f>
        <v>St. Gallen</v>
      </c>
      <c r="C32" s="53">
        <v>448491.00000000413</v>
      </c>
      <c r="D32" s="54">
        <v>0.24694214519394106</v>
      </c>
      <c r="E32" s="55">
        <v>293268.82495156967</v>
      </c>
      <c r="F32" s="54">
        <v>1.3289004028243272</v>
      </c>
      <c r="G32" s="56">
        <v>65.390124874650098</v>
      </c>
      <c r="H32" s="57">
        <v>0.82970485412596418</v>
      </c>
      <c r="I32" s="53">
        <v>348688.00000000239</v>
      </c>
      <c r="J32" s="54">
        <v>1.0273700415870755</v>
      </c>
      <c r="K32" s="55">
        <v>284838.20037481713</v>
      </c>
      <c r="L32" s="54">
        <v>1.3877116824892901</v>
      </c>
      <c r="M32" s="53">
        <v>11157.520342626938</v>
      </c>
      <c r="N32" s="57">
        <v>11.728500227833862</v>
      </c>
      <c r="O32" s="56">
        <v>81.68855836014292</v>
      </c>
      <c r="P32" s="54">
        <v>0.79290680126480595</v>
      </c>
      <c r="Q32" s="56">
        <v>3.9171432511316211</v>
      </c>
      <c r="R32" s="58">
        <v>0.45431457800564656</v>
      </c>
    </row>
    <row r="33" spans="1:18" x14ac:dyDescent="0.2">
      <c r="A33" s="79"/>
      <c r="B33" s="21" t="str">
        <f>VLOOKUP("&lt;Zeilentitel_2.18&gt;",Uebersetzungen!$B$3:$E$201,Uebersetzungen!$B$2+1,FALSE)</f>
        <v>Graubünden</v>
      </c>
      <c r="C33" s="64">
        <v>175976.99999999569</v>
      </c>
      <c r="D33" s="65">
        <v>0.39675788464812678</v>
      </c>
      <c r="E33" s="66">
        <v>112474.73398520306</v>
      </c>
      <c r="F33" s="65">
        <v>2.185632830169661</v>
      </c>
      <c r="G33" s="67">
        <v>63.914451311936119</v>
      </c>
      <c r="H33" s="68">
        <v>1.3246215631077547</v>
      </c>
      <c r="I33" s="64">
        <v>129521.99999999697</v>
      </c>
      <c r="J33" s="65">
        <v>1.7954762956694663</v>
      </c>
      <c r="K33" s="66">
        <v>107911.98238526913</v>
      </c>
      <c r="L33" s="65">
        <v>2.3155598081823583</v>
      </c>
      <c r="M33" s="64">
        <v>2284.4069618137946</v>
      </c>
      <c r="N33" s="68">
        <v>25.177421180026492</v>
      </c>
      <c r="O33" s="67">
        <v>83.315562132511587</v>
      </c>
      <c r="P33" s="65">
        <v>1.2298273391623553</v>
      </c>
      <c r="Q33" s="67">
        <v>2.1169168718057345</v>
      </c>
      <c r="R33" s="69">
        <v>0.53018345958476631</v>
      </c>
    </row>
    <row r="34" spans="1:18" x14ac:dyDescent="0.2">
      <c r="A34" s="79"/>
      <c r="B34" s="20" t="str">
        <f>VLOOKUP("&lt;Zeilentitel_2.19&gt;",Uebersetzungen!$B$3:$E$201,Uebersetzungen!$B$2+1,FALSE)</f>
        <v>Aargau</v>
      </c>
      <c r="C34" s="53">
        <v>612778</v>
      </c>
      <c r="D34" s="54">
        <v>0.15003038036056499</v>
      </c>
      <c r="E34" s="55">
        <v>404077.0839189433</v>
      </c>
      <c r="F34" s="54">
        <v>0.78594011340636638</v>
      </c>
      <c r="G34" s="56">
        <v>65.941839282569418</v>
      </c>
      <c r="H34" s="57">
        <v>0.49302331022300905</v>
      </c>
      <c r="I34" s="53">
        <v>477518.99999999825</v>
      </c>
      <c r="J34" s="54">
        <v>0.61052347265969353</v>
      </c>
      <c r="K34" s="55">
        <v>392915.99034274835</v>
      </c>
      <c r="L34" s="54">
        <v>0.8199238598676869</v>
      </c>
      <c r="M34" s="53">
        <v>17876.370774188632</v>
      </c>
      <c r="N34" s="57">
        <v>6.4987863086586044</v>
      </c>
      <c r="O34" s="56">
        <v>82.282797196080111</v>
      </c>
      <c r="P34" s="54">
        <v>0.46562047097296499</v>
      </c>
      <c r="Q34" s="56">
        <v>4.549667413279546</v>
      </c>
      <c r="R34" s="58">
        <v>0.29174323656640233</v>
      </c>
    </row>
    <row r="35" spans="1:18" ht="12.75" customHeight="1" x14ac:dyDescent="0.2">
      <c r="A35" s="79"/>
      <c r="B35" s="20" t="str">
        <f>VLOOKUP("&lt;Zeilentitel_2.20&gt;",Uebersetzungen!$B$3:$E$201,Uebersetzungen!$B$2+1,FALSE)</f>
        <v>Thurgau</v>
      </c>
      <c r="C35" s="53">
        <v>249375.99999999948</v>
      </c>
      <c r="D35" s="54">
        <v>0.35527943227897213</v>
      </c>
      <c r="E35" s="55">
        <v>164182.63014810384</v>
      </c>
      <c r="F35" s="54">
        <v>1.8031958174210558</v>
      </c>
      <c r="G35" s="56">
        <v>65.837382165125831</v>
      </c>
      <c r="H35" s="57">
        <v>1.1123053399220453</v>
      </c>
      <c r="I35" s="53">
        <v>193242.00000000038</v>
      </c>
      <c r="J35" s="54">
        <v>1.4217666646674736</v>
      </c>
      <c r="K35" s="55">
        <v>159211.07006661233</v>
      </c>
      <c r="L35" s="54">
        <v>1.8886847836714198</v>
      </c>
      <c r="M35" s="53">
        <v>5997.5682228554097</v>
      </c>
      <c r="N35" s="57">
        <v>16.225717598001729</v>
      </c>
      <c r="O35" s="56">
        <v>82.389475407319338</v>
      </c>
      <c r="P35" s="54">
        <v>1.0576352580156367</v>
      </c>
      <c r="Q35" s="56">
        <v>3.7670547785063513</v>
      </c>
      <c r="R35" s="58">
        <v>0.60459956977973617</v>
      </c>
    </row>
    <row r="36" spans="1:18" x14ac:dyDescent="0.2">
      <c r="A36" s="79"/>
      <c r="B36" s="20" t="str">
        <f>VLOOKUP("&lt;Zeilentitel_2.21&gt;",Uebersetzungen!$B$3:$E$201,Uebersetzungen!$B$2+1,FALSE)</f>
        <v>Ticino</v>
      </c>
      <c r="C36" s="53">
        <v>308002.0000000018</v>
      </c>
      <c r="D36" s="54">
        <v>0.20641093920650722</v>
      </c>
      <c r="E36" s="55">
        <v>168888.03806970353</v>
      </c>
      <c r="F36" s="54">
        <v>1.3907472518142778</v>
      </c>
      <c r="G36" s="56">
        <v>54.833422532873989</v>
      </c>
      <c r="H36" s="57">
        <v>0.74078444820075617</v>
      </c>
      <c r="I36" s="53">
        <v>226247.00000000079</v>
      </c>
      <c r="J36" s="54">
        <v>0.9797896914468166</v>
      </c>
      <c r="K36" s="55">
        <v>162903.0864887709</v>
      </c>
      <c r="L36" s="54">
        <v>1.4512154401405457</v>
      </c>
      <c r="M36" s="53">
        <v>11804.463275387992</v>
      </c>
      <c r="N36" s="57">
        <v>8.0148520854622038</v>
      </c>
      <c r="O36" s="56">
        <v>72.002318920812357</v>
      </c>
      <c r="P36" s="54">
        <v>0.80632360311494722</v>
      </c>
      <c r="Q36" s="56">
        <v>7.2463103860230973</v>
      </c>
      <c r="R36" s="58">
        <v>0.56631976261967232</v>
      </c>
    </row>
    <row r="37" spans="1:18" x14ac:dyDescent="0.2">
      <c r="A37" s="79"/>
      <c r="B37" s="20" t="str">
        <f>VLOOKUP("&lt;Zeilentitel_2.22&gt;",Uebersetzungen!$B$3:$E$201,Uebersetzungen!$B$2+1,FALSE)</f>
        <v>Vaud</v>
      </c>
      <c r="C37" s="53">
        <v>699661.99999999744</v>
      </c>
      <c r="D37" s="54">
        <v>0.15227178980422515</v>
      </c>
      <c r="E37" s="55">
        <v>437394.3522042596</v>
      </c>
      <c r="F37" s="54">
        <v>0.79465097708926136</v>
      </c>
      <c r="G37" s="56">
        <v>62.515093317096138</v>
      </c>
      <c r="H37" s="57">
        <v>0.48018870328188257</v>
      </c>
      <c r="I37" s="53">
        <v>560707.9999999986</v>
      </c>
      <c r="J37" s="54">
        <v>0.55279681142662995</v>
      </c>
      <c r="K37" s="55">
        <v>427022.13855549984</v>
      </c>
      <c r="L37" s="54">
        <v>0.82212550936668538</v>
      </c>
      <c r="M37" s="53">
        <v>34825.856828414311</v>
      </c>
      <c r="N37" s="57">
        <v>4.6303871408777653</v>
      </c>
      <c r="O37" s="56">
        <v>76.157668261466029</v>
      </c>
      <c r="P37" s="54">
        <v>0.49015829450087267</v>
      </c>
      <c r="Q37" s="56">
        <v>8.155515530464255</v>
      </c>
      <c r="R37" s="58">
        <v>0.36845521479127363</v>
      </c>
    </row>
    <row r="38" spans="1:18" x14ac:dyDescent="0.2">
      <c r="A38" s="79"/>
      <c r="B38" s="20" t="str">
        <f>VLOOKUP("&lt;Zeilentitel_2.23&gt;",Uebersetzungen!$B$3:$E$201,Uebersetzungen!$B$2+1,FALSE)</f>
        <v>Wallis</v>
      </c>
      <c r="C38" s="53">
        <v>311880.99999999814</v>
      </c>
      <c r="D38" s="54">
        <v>0.33206874514862761</v>
      </c>
      <c r="E38" s="55">
        <v>193148.32989660199</v>
      </c>
      <c r="F38" s="54">
        <v>1.7564575923383707</v>
      </c>
      <c r="G38" s="56">
        <v>61.9301367818505</v>
      </c>
      <c r="H38" s="57">
        <v>1.0331033153641371</v>
      </c>
      <c r="I38" s="53">
        <v>237773.99999999863</v>
      </c>
      <c r="J38" s="54">
        <v>1.3193283400780598</v>
      </c>
      <c r="K38" s="55">
        <v>188648.84452125954</v>
      </c>
      <c r="L38" s="54">
        <v>1.8127531823184184</v>
      </c>
      <c r="M38" s="53">
        <v>10530.750437803033</v>
      </c>
      <c r="N38" s="57">
        <v>12.310450381252158</v>
      </c>
      <c r="O38" s="56">
        <v>79.33955963278602</v>
      </c>
      <c r="P38" s="54">
        <v>1.0229151846312305</v>
      </c>
      <c r="Q38" s="56">
        <v>5.5821971581788672</v>
      </c>
      <c r="R38" s="58">
        <v>0.67534857210122112</v>
      </c>
    </row>
    <row r="39" spans="1:18" x14ac:dyDescent="0.2">
      <c r="A39" s="79"/>
      <c r="B39" s="20" t="str">
        <f>VLOOKUP("&lt;Zeilentitel_2.24&gt;",Uebersetzungen!$B$3:$E$201,Uebersetzungen!$B$2+1,FALSE)</f>
        <v>Neuchâtel</v>
      </c>
      <c r="C39" s="53">
        <v>150142.00000000137</v>
      </c>
      <c r="D39" s="54">
        <v>0.28056232088354049</v>
      </c>
      <c r="E39" s="55">
        <v>92085.733977179523</v>
      </c>
      <c r="F39" s="54">
        <v>1.7306884937879063</v>
      </c>
      <c r="G39" s="56">
        <v>61.332427952990287</v>
      </c>
      <c r="H39" s="57">
        <v>1.0297142644279731</v>
      </c>
      <c r="I39" s="53">
        <v>116056.00000000068</v>
      </c>
      <c r="J39" s="54">
        <v>1.2494361815087549</v>
      </c>
      <c r="K39" s="55">
        <v>90073.820939903162</v>
      </c>
      <c r="L39" s="54">
        <v>1.7827530293009073</v>
      </c>
      <c r="M39" s="53">
        <v>7279.2493898720804</v>
      </c>
      <c r="N39" s="57">
        <v>9.9126090256797887</v>
      </c>
      <c r="O39" s="56">
        <v>77.612377593491615</v>
      </c>
      <c r="P39" s="54">
        <v>1.0370448575043554</v>
      </c>
      <c r="Q39" s="56">
        <v>8.0814262278589908</v>
      </c>
      <c r="R39" s="58">
        <v>0.7822037659839296</v>
      </c>
    </row>
    <row r="40" spans="1:18" x14ac:dyDescent="0.2">
      <c r="A40" s="79"/>
      <c r="B40" s="20" t="str">
        <f>VLOOKUP("&lt;Zeilentitel_2.25&gt;",Uebersetzungen!$B$3:$E$201,Uebersetzungen!$B$2+1,FALSE)</f>
        <v>Genève</v>
      </c>
      <c r="C40" s="53">
        <v>405611.00000000524</v>
      </c>
      <c r="D40" s="54">
        <v>0.25334185814377636</v>
      </c>
      <c r="E40" s="55">
        <v>243265.68507738161</v>
      </c>
      <c r="F40" s="54">
        <v>1.1637576538723871</v>
      </c>
      <c r="G40" s="56">
        <v>59.975120269760552</v>
      </c>
      <c r="H40" s="57">
        <v>0.66513786758387283</v>
      </c>
      <c r="I40" s="53">
        <v>324206.00000000256</v>
      </c>
      <c r="J40" s="54">
        <v>0.78403669678495502</v>
      </c>
      <c r="K40" s="55">
        <v>236510.78224478645</v>
      </c>
      <c r="L40" s="54">
        <v>1.2077231118868048</v>
      </c>
      <c r="M40" s="53">
        <v>27106.865184308583</v>
      </c>
      <c r="N40" s="57">
        <v>5.5041238658332787</v>
      </c>
      <c r="O40" s="56">
        <v>72.950772732393773</v>
      </c>
      <c r="P40" s="54">
        <v>0.69781948917814418</v>
      </c>
      <c r="Q40" s="56">
        <v>11.461154086519922</v>
      </c>
      <c r="R40" s="58">
        <v>0.6065197110382492</v>
      </c>
    </row>
    <row r="41" spans="1:18" ht="13.5" thickBot="1" x14ac:dyDescent="0.25">
      <c r="A41" s="80"/>
      <c r="B41" s="23" t="str">
        <f>VLOOKUP("&lt;Zeilentitel_2.26&gt;",Uebersetzungen!$B$3:$E$201,Uebersetzungen!$B$2+1,FALSE)</f>
        <v>Jura</v>
      </c>
      <c r="C41" s="70">
        <v>62464.999999999563</v>
      </c>
      <c r="D41" s="71">
        <v>0.56737325987103371</v>
      </c>
      <c r="E41" s="72">
        <v>35667.238976284563</v>
      </c>
      <c r="F41" s="71">
        <v>4.0386670200056072</v>
      </c>
      <c r="G41" s="73">
        <v>57.09955811459988</v>
      </c>
      <c r="H41" s="74">
        <v>2.2681609138197061</v>
      </c>
      <c r="I41" s="70">
        <v>46171.999999999643</v>
      </c>
      <c r="J41" s="71">
        <v>2.8966438988169285</v>
      </c>
      <c r="K41" s="72">
        <v>34835.202037258845</v>
      </c>
      <c r="L41" s="71">
        <v>4.1528765893699715</v>
      </c>
      <c r="M41" s="70">
        <v>2408.2523014424746</v>
      </c>
      <c r="N41" s="74">
        <v>24.05110667636102</v>
      </c>
      <c r="O41" s="73">
        <v>75.446595419862945</v>
      </c>
      <c r="P41" s="71">
        <v>2.3601060672850025</v>
      </c>
      <c r="Q41" s="73">
        <v>6.9132720943219068</v>
      </c>
      <c r="R41" s="75">
        <v>1.6276116727507821</v>
      </c>
    </row>
    <row r="42" spans="1:18" x14ac:dyDescent="0.2">
      <c r="A42" s="16"/>
      <c r="B42" s="10"/>
      <c r="C42" s="9"/>
      <c r="D42" s="11"/>
      <c r="E42" s="12"/>
      <c r="F42" s="13"/>
      <c r="G42" s="14"/>
      <c r="H42" s="13"/>
      <c r="I42" s="14"/>
      <c r="J42" s="13"/>
      <c r="K42" s="14"/>
      <c r="L42" s="14"/>
      <c r="M42" s="13"/>
      <c r="N42" s="14"/>
    </row>
    <row r="43" spans="1:18" x14ac:dyDescent="0.2">
      <c r="A43" s="15" t="str">
        <f>VLOOKUP("&lt;Legende_1&gt;",Uebersetzungen!$B$3:$E$201,Uebersetzungen!$B$2+1,FALSE)</f>
        <v>Definitionen:</v>
      </c>
    </row>
    <row r="44" spans="1:18" x14ac:dyDescent="0.2">
      <c r="A44" s="15" t="str">
        <f>VLOOKUP("&lt;Legende_2&gt;",Uebersetzungen!$B$3:$E$201,Uebersetzungen!$B$2+1,FALSE)</f>
        <v>Erwerbsquote = Erwerbspersonen / Referenzbevölkerung x 100</v>
      </c>
    </row>
    <row r="45" spans="1:18" x14ac:dyDescent="0.2">
      <c r="A45" s="15" t="str">
        <f>VLOOKUP("&lt;Legende_3&gt;",Uebersetzungen!$B$3:$E$201,Uebersetzungen!$B$2+1,FALSE)</f>
        <v>Standardisierte Erwerbsquote (gemessen an der Bevölkerung ab 15 Jahren)</v>
      </c>
    </row>
    <row r="46" spans="1:18" x14ac:dyDescent="0.2">
      <c r="A46" s="15" t="str">
        <f>VLOOKUP("&lt;Legende_4&gt;",Uebersetzungen!$B$3:$E$201,Uebersetzungen!$B$2+1,FALSE)</f>
        <v>Nettoerwerbsquote (gemessen an der Bevölkerung zwischen 15 und 64 Jahren)</v>
      </c>
    </row>
    <row r="47" spans="1:18" x14ac:dyDescent="0.2">
      <c r="A47" s="15" t="str">
        <f>VLOOKUP("&lt;Legende_5&gt;",Uebersetzungen!$B$3:$E$201,Uebersetzungen!$B$2+1,FALSE)</f>
        <v>Erwerbslosenquote = Erwerbslose / Erwerbspersonen x 100</v>
      </c>
    </row>
    <row r="48" spans="1:18" x14ac:dyDescent="0.2">
      <c r="A48" s="15" t="str">
        <f>VLOOKUP("&lt;Legende_6&gt;",Uebersetzungen!$B$3:$E$201,Uebersetzungen!$B$2+1,FALSE)</f>
        <v>(): Extrapolation aufgrund von 49 oder weniger Beobachtungen. Die Resultate sind mit grosser Vorsicht zu interpretieren.</v>
      </c>
    </row>
    <row r="49" spans="1:1" x14ac:dyDescent="0.2">
      <c r="A49" s="15" t="str">
        <f>VLOOKUP("&lt;Legende_7&gt;",Uebersetzungen!$B$3:$E$201,Uebersetzungen!$B$2+1,FALSE)</f>
        <v>X: Extrapolation aufgrund von 4 oder weniger Beobachtungen. Die Resultate werden aus Gründen des Datenschutzes nicht publiziert.</v>
      </c>
    </row>
    <row r="50" spans="1:1" x14ac:dyDescent="0.2">
      <c r="A50" s="15" t="str">
        <f>VLOOKUP("&lt;Legende_8&gt;",Uebersetzungen!$B$3:$E$201,Uebersetzungen!$B$2+1,FALSE)</f>
        <v>Die Grundgesamtheit der Strukturerhebung enthält alle Personen der ständigen Wohnbevölkerung ab vollendetem 15. Altersjahr, die in Privathaushalten leben.</v>
      </c>
    </row>
    <row r="51" spans="1:1" x14ac:dyDescent="0.2">
      <c r="A51" s="15" t="str">
        <f>VLOOKUP("&lt;Legende_9&gt;",Uebersetzungen!$B$3:$E$201,Uebersetzungen!$B$2+1,FALSE)</f>
        <v>Aus der Grundgesamtheit ausgeschlossen wurden neben den Personen, die in Kollektivhaushalten leben, auch Diplomaten, internationale Funktionäre und deren Angehörige.</v>
      </c>
    </row>
    <row r="53" spans="1:1" x14ac:dyDescent="0.2">
      <c r="A53" s="1" t="str">
        <f>VLOOKUP("&lt;quelle_1&gt;",Uebersetzungen!$B$3:$E$201,Uebersetzungen!$B$2+1,FALSE)</f>
        <v>Quelle: BFS (Strukturerhebung)</v>
      </c>
    </row>
    <row r="54" spans="1:1" x14ac:dyDescent="0.2">
      <c r="A54" s="1" t="str">
        <f>VLOOKUP("&lt;aktualisierung&gt;",Uebersetzungen!$B$3:$E$201,Uebersetzungen!$B$2+1,FALSE)</f>
        <v>Letztmals aktualisiert am: 29.01.2026</v>
      </c>
    </row>
  </sheetData>
  <sheetProtection sheet="1" objects="1" scenarios="1"/>
  <mergeCells count="12">
    <mergeCell ref="C12:R12"/>
    <mergeCell ref="A16:A41"/>
    <mergeCell ref="A15:B15"/>
    <mergeCell ref="Q13:R13"/>
    <mergeCell ref="A7:B7"/>
    <mergeCell ref="K13:L13"/>
    <mergeCell ref="M13:N13"/>
    <mergeCell ref="O13:P13"/>
    <mergeCell ref="C13:D13"/>
    <mergeCell ref="E13:F13"/>
    <mergeCell ref="G13:H13"/>
    <mergeCell ref="I13:J13"/>
  </mergeCells>
  <pageMargins left="0.7" right="0.7" top="0.78740157499999996" bottom="0.78740157499999996" header="0.3" footer="0.3"/>
  <pageSetup paperSize="9" orientation="portrait" r:id="rId1"/>
  <ignoredErrors>
    <ignoredError sqref="D14:F14 H14:I14 J14:K14 L14:N14 P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428625</xdr:colOff>
                    <xdr:row>1</xdr:row>
                    <xdr:rowOff>123825</xdr:rowOff>
                  </from>
                  <to>
                    <xdr:col>4</xdr:col>
                    <xdr:colOff>752475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428625</xdr:colOff>
                    <xdr:row>2</xdr:row>
                    <xdr:rowOff>104775</xdr:rowOff>
                  </from>
                  <to>
                    <xdr:col>5</xdr:col>
                    <xdr:colOff>304800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428625</xdr:colOff>
                    <xdr:row>3</xdr:row>
                    <xdr:rowOff>76200</xdr:rowOff>
                  </from>
                  <to>
                    <xdr:col>4</xdr:col>
                    <xdr:colOff>752475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2"/>
  <sheetViews>
    <sheetView topLeftCell="A13" workbookViewId="0">
      <selection activeCell="G60" sqref="G60"/>
    </sheetView>
  </sheetViews>
  <sheetFormatPr baseColWidth="10" defaultColWidth="12.5703125" defaultRowHeight="12.75" x14ac:dyDescent="0.2"/>
  <cols>
    <col min="1" max="1" width="9.85546875" style="28" customWidth="1"/>
    <col min="2" max="2" width="30" style="28" customWidth="1"/>
    <col min="3" max="3" width="78.5703125" style="32" customWidth="1"/>
    <col min="4" max="5" width="53.42578125" style="32" customWidth="1"/>
    <col min="6" max="6" width="22.42578125" style="28" customWidth="1"/>
    <col min="7" max="8" width="12.5703125" style="28"/>
    <col min="9" max="9" width="37.7109375" style="28" customWidth="1"/>
    <col min="10" max="16384" width="12.5703125" style="28"/>
  </cols>
  <sheetData>
    <row r="1" spans="1:6" x14ac:dyDescent="0.2">
      <c r="A1" s="25" t="s">
        <v>0</v>
      </c>
      <c r="B1" s="25" t="s">
        <v>1</v>
      </c>
      <c r="C1" s="26" t="s">
        <v>2</v>
      </c>
      <c r="D1" s="26" t="s">
        <v>3</v>
      </c>
      <c r="E1" s="26" t="s">
        <v>4</v>
      </c>
      <c r="F1" s="27"/>
    </row>
    <row r="2" spans="1:6" ht="12.75" customHeight="1" x14ac:dyDescent="0.2">
      <c r="A2" s="29" t="s">
        <v>5</v>
      </c>
      <c r="B2" s="30">
        <v>1</v>
      </c>
      <c r="C2" s="31"/>
      <c r="D2" s="31"/>
      <c r="E2" s="31"/>
      <c r="F2" s="27"/>
    </row>
    <row r="3" spans="1:6" ht="12.75" customHeight="1" x14ac:dyDescent="0.2">
      <c r="A3" s="29"/>
      <c r="B3" s="28" t="s">
        <v>6</v>
      </c>
      <c r="C3" s="32" t="s">
        <v>7</v>
      </c>
      <c r="D3" s="32" t="s">
        <v>8</v>
      </c>
      <c r="E3" s="32" t="s">
        <v>9</v>
      </c>
      <c r="F3" s="27"/>
    </row>
    <row r="4" spans="1:6" ht="12.75" customHeight="1" x14ac:dyDescent="0.2">
      <c r="A4" s="29" t="s">
        <v>10</v>
      </c>
      <c r="B4" s="28" t="s">
        <v>11</v>
      </c>
      <c r="C4" s="32" t="s">
        <v>183</v>
      </c>
      <c r="D4" s="32" t="s">
        <v>184</v>
      </c>
      <c r="E4" s="32" t="s">
        <v>185</v>
      </c>
      <c r="F4" s="27"/>
    </row>
    <row r="5" spans="1:6" ht="12.75" customHeight="1" x14ac:dyDescent="0.2">
      <c r="A5" s="29"/>
      <c r="B5" s="28" t="s">
        <v>12</v>
      </c>
      <c r="C5" s="32" t="s">
        <v>204</v>
      </c>
      <c r="D5" t="s">
        <v>205</v>
      </c>
      <c r="E5" t="s">
        <v>206</v>
      </c>
      <c r="F5" s="27"/>
    </row>
    <row r="6" spans="1:6" ht="12.75" customHeight="1" x14ac:dyDescent="0.2">
      <c r="A6" s="29" t="s">
        <v>13</v>
      </c>
      <c r="B6" s="28" t="s">
        <v>14</v>
      </c>
      <c r="C6" s="32" t="s">
        <v>15</v>
      </c>
      <c r="D6" s="32" t="s">
        <v>16</v>
      </c>
      <c r="E6" s="32" t="s">
        <v>186</v>
      </c>
      <c r="F6" s="27"/>
    </row>
    <row r="7" spans="1:6" ht="12.75" customHeight="1" x14ac:dyDescent="0.2">
      <c r="A7" s="29"/>
      <c r="B7" s="28" t="s">
        <v>18</v>
      </c>
      <c r="C7" s="32" t="s">
        <v>19</v>
      </c>
      <c r="D7" s="32" t="s">
        <v>20</v>
      </c>
      <c r="E7" s="32" t="s">
        <v>187</v>
      </c>
      <c r="F7" s="27"/>
    </row>
    <row r="8" spans="1:6" ht="12.75" customHeight="1" x14ac:dyDescent="0.2">
      <c r="A8" s="29"/>
      <c r="B8" s="28" t="s">
        <v>21</v>
      </c>
      <c r="C8" s="32" t="s">
        <v>22</v>
      </c>
      <c r="D8" s="32" t="s">
        <v>23</v>
      </c>
      <c r="E8" s="32" t="s">
        <v>188</v>
      </c>
      <c r="F8" s="27"/>
    </row>
    <row r="9" spans="1:6" ht="12.75" customHeight="1" x14ac:dyDescent="0.2">
      <c r="A9" s="29"/>
      <c r="B9" s="28" t="s">
        <v>24</v>
      </c>
      <c r="C9" s="32" t="s">
        <v>25</v>
      </c>
      <c r="D9" s="32" t="s">
        <v>26</v>
      </c>
      <c r="E9" s="32" t="s">
        <v>189</v>
      </c>
      <c r="F9" s="27"/>
    </row>
    <row r="10" spans="1:6" ht="12.75" customHeight="1" x14ac:dyDescent="0.2">
      <c r="A10" s="29"/>
      <c r="B10" s="28" t="s">
        <v>27</v>
      </c>
      <c r="C10" s="32" t="s">
        <v>28</v>
      </c>
      <c r="D10" s="32" t="s">
        <v>29</v>
      </c>
      <c r="E10" s="32" t="s">
        <v>190</v>
      </c>
      <c r="F10" s="27"/>
    </row>
    <row r="11" spans="1:6" ht="12.75" customHeight="1" x14ac:dyDescent="0.2">
      <c r="A11" s="29"/>
      <c r="B11" s="28" t="s">
        <v>30</v>
      </c>
      <c r="C11" s="32" t="s">
        <v>31</v>
      </c>
      <c r="D11" s="32" t="s">
        <v>32</v>
      </c>
      <c r="E11" s="32" t="s">
        <v>191</v>
      </c>
      <c r="F11" s="27"/>
    </row>
    <row r="12" spans="1:6" ht="12.75" customHeight="1" x14ac:dyDescent="0.2">
      <c r="A12" s="29"/>
      <c r="B12" s="28" t="s">
        <v>33</v>
      </c>
      <c r="C12" s="32" t="s">
        <v>34</v>
      </c>
      <c r="D12" s="32" t="s">
        <v>35</v>
      </c>
      <c r="E12" s="32" t="s">
        <v>192</v>
      </c>
      <c r="F12" s="27"/>
    </row>
    <row r="13" spans="1:6" ht="12.75" customHeight="1" x14ac:dyDescent="0.2">
      <c r="A13" s="29"/>
      <c r="B13" s="28" t="s">
        <v>36</v>
      </c>
      <c r="C13" s="32" t="s">
        <v>37</v>
      </c>
      <c r="D13" s="32" t="s">
        <v>38</v>
      </c>
      <c r="E13" s="32" t="s">
        <v>193</v>
      </c>
      <c r="F13" s="27"/>
    </row>
    <row r="14" spans="1:6" ht="12.75" customHeight="1" x14ac:dyDescent="0.2">
      <c r="A14" s="29"/>
      <c r="B14" s="27"/>
      <c r="C14" s="33"/>
      <c r="D14" s="33"/>
      <c r="E14" s="33"/>
      <c r="F14" s="27"/>
    </row>
    <row r="15" spans="1:6" ht="12.75" customHeight="1" x14ac:dyDescent="0.2">
      <c r="A15" s="29"/>
      <c r="B15" s="28" t="s">
        <v>39</v>
      </c>
      <c r="C15" s="32" t="s">
        <v>40</v>
      </c>
      <c r="D15" s="32" t="s">
        <v>41</v>
      </c>
      <c r="E15" s="32" t="s">
        <v>42</v>
      </c>
      <c r="F15" s="27"/>
    </row>
    <row r="16" spans="1:6" ht="12.75" customHeight="1" x14ac:dyDescent="0.2">
      <c r="A16" s="29"/>
      <c r="B16" s="28" t="s">
        <v>43</v>
      </c>
      <c r="C16" s="32" t="s">
        <v>44</v>
      </c>
      <c r="D16" s="32" t="s">
        <v>45</v>
      </c>
      <c r="E16" s="32" t="s">
        <v>46</v>
      </c>
      <c r="F16" s="27"/>
    </row>
    <row r="17" spans="1:6" ht="12.75" customHeight="1" x14ac:dyDescent="0.2">
      <c r="A17" s="29"/>
      <c r="B17" s="28" t="s">
        <v>47</v>
      </c>
      <c r="C17" s="32" t="s">
        <v>48</v>
      </c>
      <c r="D17" s="32" t="s">
        <v>49</v>
      </c>
      <c r="E17" s="32" t="s">
        <v>48</v>
      </c>
      <c r="F17" s="27"/>
    </row>
    <row r="18" spans="1:6" ht="12.75" customHeight="1" x14ac:dyDescent="0.2">
      <c r="A18" s="29"/>
      <c r="B18" s="27"/>
      <c r="C18" s="33"/>
      <c r="D18" s="33"/>
      <c r="E18" s="33"/>
      <c r="F18" s="27"/>
    </row>
    <row r="19" spans="1:6" ht="12.75" customHeight="1" x14ac:dyDescent="0.2">
      <c r="A19" s="29" t="s">
        <v>10</v>
      </c>
      <c r="B19" s="28" t="s">
        <v>50</v>
      </c>
      <c r="C19" s="32" t="s">
        <v>51</v>
      </c>
      <c r="D19" s="32" t="s">
        <v>51</v>
      </c>
      <c r="E19" s="32" t="s">
        <v>17</v>
      </c>
      <c r="F19" s="27"/>
    </row>
    <row r="20" spans="1:6" ht="12.75" customHeight="1" x14ac:dyDescent="0.2">
      <c r="A20" s="27"/>
      <c r="B20" s="28" t="s">
        <v>52</v>
      </c>
      <c r="C20" s="32" t="s">
        <v>53</v>
      </c>
      <c r="D20" s="32" t="s">
        <v>54</v>
      </c>
      <c r="E20" s="32" t="s">
        <v>55</v>
      </c>
      <c r="F20" s="27"/>
    </row>
    <row r="21" spans="1:6" ht="12.75" customHeight="1" x14ac:dyDescent="0.2">
      <c r="A21" s="29"/>
      <c r="B21" s="27"/>
      <c r="C21" s="33"/>
      <c r="D21" s="33"/>
      <c r="E21" s="33"/>
      <c r="F21" s="27"/>
    </row>
    <row r="22" spans="1:6" ht="12.75" customHeight="1" x14ac:dyDescent="0.2">
      <c r="A22" s="27"/>
      <c r="B22" s="28" t="s">
        <v>56</v>
      </c>
      <c r="C22" s="34" t="s">
        <v>57</v>
      </c>
      <c r="D22" s="24" t="s">
        <v>58</v>
      </c>
      <c r="E22" s="24" t="s">
        <v>59</v>
      </c>
      <c r="F22" s="27"/>
    </row>
    <row r="23" spans="1:6" ht="12.75" customHeight="1" x14ac:dyDescent="0.2">
      <c r="A23" s="27"/>
      <c r="B23" s="28" t="s">
        <v>60</v>
      </c>
      <c r="C23" s="34" t="s">
        <v>61</v>
      </c>
      <c r="D23" s="24" t="s">
        <v>62</v>
      </c>
      <c r="E23" s="24" t="s">
        <v>62</v>
      </c>
      <c r="F23" s="27"/>
    </row>
    <row r="24" spans="1:6" x14ac:dyDescent="0.2">
      <c r="A24" s="27"/>
      <c r="B24" s="28" t="s">
        <v>63</v>
      </c>
      <c r="C24" s="34" t="s">
        <v>64</v>
      </c>
      <c r="D24" s="24" t="s">
        <v>65</v>
      </c>
      <c r="E24" s="24" t="s">
        <v>65</v>
      </c>
      <c r="F24" s="27"/>
    </row>
    <row r="25" spans="1:6" x14ac:dyDescent="0.2">
      <c r="A25" s="27"/>
      <c r="B25" s="28" t="s">
        <v>66</v>
      </c>
      <c r="C25" s="34" t="s">
        <v>67</v>
      </c>
      <c r="D25" s="24" t="s">
        <v>67</v>
      </c>
      <c r="E25" s="24" t="s">
        <v>67</v>
      </c>
      <c r="F25" s="27"/>
    </row>
    <row r="26" spans="1:6" x14ac:dyDescent="0.2">
      <c r="A26" s="27"/>
      <c r="B26" s="28" t="s">
        <v>68</v>
      </c>
      <c r="C26" s="34" t="s">
        <v>69</v>
      </c>
      <c r="D26" s="24" t="s">
        <v>70</v>
      </c>
      <c r="E26" s="24" t="s">
        <v>71</v>
      </c>
      <c r="F26" s="27"/>
    </row>
    <row r="27" spans="1:6" x14ac:dyDescent="0.2">
      <c r="A27" s="27"/>
      <c r="B27" s="28" t="s">
        <v>72</v>
      </c>
      <c r="C27" s="34" t="s">
        <v>73</v>
      </c>
      <c r="D27" s="24" t="s">
        <v>74</v>
      </c>
      <c r="E27" s="24" t="s">
        <v>75</v>
      </c>
      <c r="F27" s="27"/>
    </row>
    <row r="28" spans="1:6" x14ac:dyDescent="0.2">
      <c r="A28" s="27"/>
      <c r="B28" s="28" t="s">
        <v>76</v>
      </c>
      <c r="C28" s="34" t="s">
        <v>77</v>
      </c>
      <c r="D28" s="24" t="s">
        <v>78</v>
      </c>
      <c r="E28" s="24" t="s">
        <v>79</v>
      </c>
      <c r="F28" s="27"/>
    </row>
    <row r="29" spans="1:6" x14ac:dyDescent="0.2">
      <c r="A29" s="27"/>
      <c r="B29" s="28" t="s">
        <v>80</v>
      </c>
      <c r="C29" s="34" t="s">
        <v>81</v>
      </c>
      <c r="D29" s="24" t="s">
        <v>82</v>
      </c>
      <c r="E29" s="24" t="s">
        <v>83</v>
      </c>
      <c r="F29" s="27"/>
    </row>
    <row r="30" spans="1:6" x14ac:dyDescent="0.2">
      <c r="A30" s="27"/>
      <c r="B30" s="28" t="s">
        <v>84</v>
      </c>
      <c r="C30" s="34" t="s">
        <v>85</v>
      </c>
      <c r="D30" s="24" t="s">
        <v>85</v>
      </c>
      <c r="E30" s="24" t="s">
        <v>86</v>
      </c>
      <c r="F30" s="27"/>
    </row>
    <row r="31" spans="1:6" x14ac:dyDescent="0.2">
      <c r="A31" s="27"/>
      <c r="B31" s="28" t="s">
        <v>87</v>
      </c>
      <c r="C31" s="34" t="s">
        <v>88</v>
      </c>
      <c r="D31" s="24" t="s">
        <v>89</v>
      </c>
      <c r="E31" s="24" t="s">
        <v>90</v>
      </c>
      <c r="F31" s="27"/>
    </row>
    <row r="32" spans="1:6" x14ac:dyDescent="0.2">
      <c r="A32" s="27"/>
      <c r="B32" s="28" t="s">
        <v>91</v>
      </c>
      <c r="C32" s="34" t="s">
        <v>92</v>
      </c>
      <c r="D32" s="24" t="s">
        <v>93</v>
      </c>
      <c r="E32" s="24" t="s">
        <v>94</v>
      </c>
      <c r="F32" s="27"/>
    </row>
    <row r="33" spans="1:6" x14ac:dyDescent="0.2">
      <c r="A33" s="27"/>
      <c r="B33" s="28" t="s">
        <v>95</v>
      </c>
      <c r="C33" s="34" t="s">
        <v>96</v>
      </c>
      <c r="D33" s="24" t="s">
        <v>97</v>
      </c>
      <c r="E33" s="24" t="s">
        <v>98</v>
      </c>
      <c r="F33" s="27"/>
    </row>
    <row r="34" spans="1:6" x14ac:dyDescent="0.2">
      <c r="A34" s="27"/>
      <c r="B34" s="28" t="s">
        <v>99</v>
      </c>
      <c r="C34" s="34" t="s">
        <v>100</v>
      </c>
      <c r="D34" s="24" t="s">
        <v>101</v>
      </c>
      <c r="E34" s="24" t="s">
        <v>102</v>
      </c>
      <c r="F34" s="27"/>
    </row>
    <row r="35" spans="1:6" x14ac:dyDescent="0.2">
      <c r="A35" s="27"/>
      <c r="B35" s="28" t="s">
        <v>103</v>
      </c>
      <c r="C35" s="34" t="s">
        <v>104</v>
      </c>
      <c r="D35" s="24" t="s">
        <v>105</v>
      </c>
      <c r="E35" s="24" t="s">
        <v>106</v>
      </c>
      <c r="F35" s="27"/>
    </row>
    <row r="36" spans="1:6" x14ac:dyDescent="0.2">
      <c r="A36" s="27"/>
      <c r="B36" s="28" t="s">
        <v>107</v>
      </c>
      <c r="C36" s="34" t="s">
        <v>108</v>
      </c>
      <c r="D36" s="24" t="s">
        <v>109</v>
      </c>
      <c r="E36" s="24" t="s">
        <v>110</v>
      </c>
      <c r="F36" s="27"/>
    </row>
    <row r="37" spans="1:6" x14ac:dyDescent="0.2">
      <c r="A37" s="27"/>
      <c r="B37" s="28" t="s">
        <v>111</v>
      </c>
      <c r="C37" s="34" t="s">
        <v>112</v>
      </c>
      <c r="D37" s="24" t="s">
        <v>113</v>
      </c>
      <c r="E37" s="24" t="s">
        <v>114</v>
      </c>
      <c r="F37" s="27"/>
    </row>
    <row r="38" spans="1:6" x14ac:dyDescent="0.2">
      <c r="A38" s="27"/>
      <c r="B38" s="28" t="s">
        <v>115</v>
      </c>
      <c r="C38" s="34" t="s">
        <v>116</v>
      </c>
      <c r="D38" s="24" t="s">
        <v>117</v>
      </c>
      <c r="E38" s="24" t="s">
        <v>118</v>
      </c>
      <c r="F38" s="27"/>
    </row>
    <row r="39" spans="1:6" x14ac:dyDescent="0.2">
      <c r="A39" s="27"/>
      <c r="B39" s="28" t="s">
        <v>119</v>
      </c>
      <c r="C39" s="34" t="s">
        <v>120</v>
      </c>
      <c r="D39" s="24" t="s">
        <v>121</v>
      </c>
      <c r="E39" s="24" t="s">
        <v>122</v>
      </c>
      <c r="F39" s="27"/>
    </row>
    <row r="40" spans="1:6" x14ac:dyDescent="0.2">
      <c r="A40" s="27"/>
      <c r="B40" s="28" t="s">
        <v>123</v>
      </c>
      <c r="C40" s="34" t="s">
        <v>124</v>
      </c>
      <c r="D40" s="24" t="s">
        <v>125</v>
      </c>
      <c r="E40" s="24" t="s">
        <v>125</v>
      </c>
      <c r="F40" s="27"/>
    </row>
    <row r="41" spans="1:6" x14ac:dyDescent="0.2">
      <c r="A41" s="27"/>
      <c r="B41" s="28" t="s">
        <v>126</v>
      </c>
      <c r="C41" s="34" t="s">
        <v>127</v>
      </c>
      <c r="D41" s="24" t="s">
        <v>128</v>
      </c>
      <c r="E41" s="24" t="s">
        <v>128</v>
      </c>
      <c r="F41" s="27"/>
    </row>
    <row r="42" spans="1:6" x14ac:dyDescent="0.2">
      <c r="A42" s="27"/>
      <c r="B42" s="28" t="s">
        <v>129</v>
      </c>
      <c r="C42" s="34" t="s">
        <v>130</v>
      </c>
      <c r="D42" s="24" t="s">
        <v>131</v>
      </c>
      <c r="E42" s="24" t="s">
        <v>130</v>
      </c>
      <c r="F42" s="27"/>
    </row>
    <row r="43" spans="1:6" x14ac:dyDescent="0.2">
      <c r="A43" s="27"/>
      <c r="B43" s="28" t="s">
        <v>132</v>
      </c>
      <c r="C43" s="34" t="s">
        <v>133</v>
      </c>
      <c r="D43" s="24" t="s">
        <v>134</v>
      </c>
      <c r="E43" s="24" t="s">
        <v>133</v>
      </c>
      <c r="F43" s="27"/>
    </row>
    <row r="44" spans="1:6" x14ac:dyDescent="0.2">
      <c r="A44" s="27"/>
      <c r="B44" s="28" t="s">
        <v>135</v>
      </c>
      <c r="C44" s="34" t="s">
        <v>136</v>
      </c>
      <c r="D44" s="24" t="s">
        <v>137</v>
      </c>
      <c r="E44" s="24" t="s">
        <v>138</v>
      </c>
      <c r="F44" s="27"/>
    </row>
    <row r="45" spans="1:6" x14ac:dyDescent="0.2">
      <c r="A45" s="27"/>
      <c r="B45" s="28" t="s">
        <v>139</v>
      </c>
      <c r="C45" s="34" t="s">
        <v>140</v>
      </c>
      <c r="D45" s="24" t="s">
        <v>140</v>
      </c>
      <c r="E45" s="24" t="s">
        <v>140</v>
      </c>
      <c r="F45" s="27"/>
    </row>
    <row r="46" spans="1:6" x14ac:dyDescent="0.2">
      <c r="A46" s="27"/>
      <c r="B46" s="28" t="s">
        <v>141</v>
      </c>
      <c r="C46" s="34" t="s">
        <v>142</v>
      </c>
      <c r="D46" s="24" t="s">
        <v>143</v>
      </c>
      <c r="E46" s="24" t="s">
        <v>144</v>
      </c>
      <c r="F46" s="27"/>
    </row>
    <row r="47" spans="1:6" x14ac:dyDescent="0.2">
      <c r="A47" s="27"/>
      <c r="B47" s="28" t="s">
        <v>145</v>
      </c>
      <c r="C47" s="34" t="s">
        <v>146</v>
      </c>
      <c r="D47" s="24" t="s">
        <v>147</v>
      </c>
      <c r="E47" s="24" t="s">
        <v>147</v>
      </c>
      <c r="F47" s="27"/>
    </row>
    <row r="48" spans="1:6" x14ac:dyDescent="0.2">
      <c r="A48" s="27"/>
      <c r="B48" s="27"/>
      <c r="C48" s="33"/>
      <c r="D48" s="33"/>
      <c r="E48" s="33"/>
      <c r="F48" s="27"/>
    </row>
    <row r="49" spans="1:6" x14ac:dyDescent="0.2">
      <c r="A49" s="29"/>
      <c r="B49" s="28" t="s">
        <v>148</v>
      </c>
      <c r="C49" s="35" t="s">
        <v>149</v>
      </c>
      <c r="D49" s="32" t="s">
        <v>150</v>
      </c>
      <c r="E49" s="39" t="s">
        <v>194</v>
      </c>
      <c r="F49" s="33"/>
    </row>
    <row r="50" spans="1:6" ht="25.5" x14ac:dyDescent="0.2">
      <c r="A50" s="27"/>
      <c r="B50" s="28" t="s">
        <v>151</v>
      </c>
      <c r="C50" s="36" t="s">
        <v>152</v>
      </c>
      <c r="D50" s="32" t="s">
        <v>153</v>
      </c>
      <c r="E50" s="39" t="s">
        <v>195</v>
      </c>
      <c r="F50" s="33"/>
    </row>
    <row r="51" spans="1:6" ht="25.5" x14ac:dyDescent="0.2">
      <c r="A51" s="27"/>
      <c r="B51" s="28" t="s">
        <v>154</v>
      </c>
      <c r="C51" s="36" t="s">
        <v>155</v>
      </c>
      <c r="D51" s="32" t="s">
        <v>156</v>
      </c>
      <c r="E51" s="39" t="s">
        <v>196</v>
      </c>
      <c r="F51" s="33"/>
    </row>
    <row r="52" spans="1:6" ht="25.5" x14ac:dyDescent="0.2">
      <c r="A52" s="27"/>
      <c r="B52" s="28" t="s">
        <v>157</v>
      </c>
      <c r="C52" s="36" t="s">
        <v>158</v>
      </c>
      <c r="D52" s="28" t="s">
        <v>159</v>
      </c>
      <c r="E52" s="39" t="s">
        <v>197</v>
      </c>
      <c r="F52" s="33"/>
    </row>
    <row r="53" spans="1:6" ht="25.5" x14ac:dyDescent="0.2">
      <c r="A53" s="27"/>
      <c r="B53" s="28" t="s">
        <v>160</v>
      </c>
      <c r="C53" s="36" t="s">
        <v>161</v>
      </c>
      <c r="D53" s="32" t="s">
        <v>199</v>
      </c>
      <c r="E53" s="32" t="s">
        <v>198</v>
      </c>
      <c r="F53" s="33"/>
    </row>
    <row r="54" spans="1:6" ht="25.5" x14ac:dyDescent="0.2">
      <c r="A54" s="27"/>
      <c r="B54" s="28" t="s">
        <v>162</v>
      </c>
      <c r="C54" s="32" t="s">
        <v>163</v>
      </c>
      <c r="D54" s="32" t="s">
        <v>164</v>
      </c>
      <c r="E54" s="32" t="s">
        <v>165</v>
      </c>
      <c r="F54" s="33"/>
    </row>
    <row r="55" spans="1:6" ht="38.25" x14ac:dyDescent="0.2">
      <c r="A55" s="27"/>
      <c r="B55" s="28" t="s">
        <v>166</v>
      </c>
      <c r="C55" s="32" t="s">
        <v>167</v>
      </c>
      <c r="D55" s="32" t="s">
        <v>168</v>
      </c>
      <c r="E55" s="32" t="s">
        <v>169</v>
      </c>
      <c r="F55" s="33"/>
    </row>
    <row r="56" spans="1:6" ht="51" x14ac:dyDescent="0.2">
      <c r="A56" s="27"/>
      <c r="B56" s="28" t="s">
        <v>170</v>
      </c>
      <c r="C56" s="32" t="s">
        <v>171</v>
      </c>
      <c r="D56" s="32" t="s">
        <v>172</v>
      </c>
      <c r="E56" s="32" t="s">
        <v>173</v>
      </c>
      <c r="F56" s="33"/>
    </row>
    <row r="57" spans="1:6" ht="38.25" x14ac:dyDescent="0.2">
      <c r="A57" s="27"/>
      <c r="B57" s="28" t="s">
        <v>174</v>
      </c>
      <c r="C57" s="32" t="s">
        <v>175</v>
      </c>
      <c r="D57" s="32" t="s">
        <v>176</v>
      </c>
      <c r="E57" s="32" t="s">
        <v>177</v>
      </c>
      <c r="F57" s="33"/>
    </row>
    <row r="58" spans="1:6" x14ac:dyDescent="0.2">
      <c r="A58" s="27"/>
      <c r="B58" s="27"/>
      <c r="C58" s="33"/>
      <c r="D58" s="33"/>
      <c r="E58" s="33"/>
      <c r="F58" s="27"/>
    </row>
    <row r="59" spans="1:6" x14ac:dyDescent="0.2">
      <c r="A59" s="27" t="s">
        <v>13</v>
      </c>
      <c r="B59" s="28" t="s">
        <v>178</v>
      </c>
      <c r="C59" s="32" t="s">
        <v>179</v>
      </c>
      <c r="D59" s="32" t="s">
        <v>180</v>
      </c>
      <c r="E59" s="32" t="s">
        <v>181</v>
      </c>
      <c r="F59" s="27"/>
    </row>
    <row r="60" spans="1:6" x14ac:dyDescent="0.2">
      <c r="A60" s="27" t="s">
        <v>10</v>
      </c>
      <c r="B60" s="37" t="s">
        <v>182</v>
      </c>
      <c r="C60" s="38" t="s">
        <v>200</v>
      </c>
      <c r="D60" s="38" t="s">
        <v>201</v>
      </c>
      <c r="E60" s="38" t="s">
        <v>202</v>
      </c>
      <c r="F60" s="27"/>
    </row>
    <row r="61" spans="1:6" x14ac:dyDescent="0.2">
      <c r="A61" s="27"/>
      <c r="B61" s="27"/>
      <c r="C61" s="33"/>
      <c r="D61" s="33"/>
      <c r="E61" s="33"/>
      <c r="F61" s="27"/>
    </row>
    <row r="62" spans="1:6" x14ac:dyDescent="0.2">
      <c r="A62" s="29"/>
      <c r="B62" s="30"/>
      <c r="C62" s="31"/>
      <c r="D62" s="31"/>
      <c r="E62" s="31"/>
      <c r="F62" s="27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D26AD4D433F842B31B8F2E11C3D7DD" ma:contentTypeVersion="6" ma:contentTypeDescription="Ein neues Dokument erstellen." ma:contentTypeScope="" ma:versionID="fc86b419a5312ef30388d69da23aeff4">
  <xsd:schema xmlns:xsd="http://www.w3.org/2001/XMLSchema" xmlns:xs="http://www.w3.org/2001/XMLSchema" xmlns:p="http://schemas.microsoft.com/office/2006/metadata/properties" xmlns:ns1="http://schemas.microsoft.com/sharepoint/v3" xmlns:ns2="e8a48d95-b6dc-46ea-8dee-11ddfc24d8d8" targetNamespace="http://schemas.microsoft.com/office/2006/metadata/properties" ma:root="true" ma:fieldsID="c8472c40e3417b7de721acd23c96858c" ns1:_="" ns2:_="">
    <xsd:import namespace="http://schemas.microsoft.com/sharepoint/v3"/>
    <xsd:import namespace="e8a48d95-b6dc-46ea-8dee-11ddfc24d8d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48d95-b6dc-46ea-8dee-11ddfc24d8d8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e8a48d95-b6dc-46ea-8dee-11ddfc24d8d8">Erwerbstätigkeit</Kategorie>
    <Benutzerdefinierte_x0020_ID xmlns="e8a48d95-b6dc-46ea-8dee-11ddfc24d8d8">1003</Benutzerdefinierte_x0020_ID>
    <Titel_IT xmlns="e8a48d95-b6dc-46ea-8dee-11ddfc24d8d8">Tasso di occupazione e disoccupazione nei Grigioni e in Svizzera, 2024</Titel_IT>
    <Titel_RM xmlns="e8a48d95-b6dc-46ea-8dee-11ddfc24d8d8">Quota da las persunas cun e senza activitad da gudogn en il Grischun ed en Svizra, 2024</Titel_RM>
    <Titel_DE xmlns="e8a48d95-b6dc-46ea-8dee-11ddfc24d8d8">Erwerbs- und Erwerbslosenquote Graubünden und Schweiz, 2024</Titel_D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E72AC0-D458-48D7-B943-9ED41961E5C6}"/>
</file>

<file path=customXml/itemProps2.xml><?xml version="1.0" encoding="utf-8"?>
<ds:datastoreItem xmlns:ds="http://schemas.openxmlformats.org/officeDocument/2006/customXml" ds:itemID="{42A38CE1-2156-4B86-ADF0-EB53C6E22A37}"/>
</file>

<file path=customXml/itemProps3.xml><?xml version="1.0" encoding="utf-8"?>
<ds:datastoreItem xmlns:ds="http://schemas.openxmlformats.org/officeDocument/2006/customXml" ds:itemID="{416C6DE6-E866-4E75-A534-73C45BD3F7F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Schweiz</vt:lpstr>
      <vt:lpstr>Uebersetzungen</vt:lpstr>
    </vt:vector>
  </TitlesOfParts>
  <Manager/>
  <Company>Kantonale Verwaltung Graubünden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Erwerbs- und Erwerbslosenquote Graubünden und Schweiz</dc:title>
  <dc:subject/>
  <dc:creator>Luzius.Stricker@awt.gr.ch</dc:creator>
  <cp:keywords/>
  <dc:description/>
  <cp:lastModifiedBy>Monstein Urs (AWT GR)</cp:lastModifiedBy>
  <cp:revision/>
  <dcterms:created xsi:type="dcterms:W3CDTF">2017-05-04T09:10:20Z</dcterms:created>
  <dcterms:modified xsi:type="dcterms:W3CDTF">2026-01-28T08:55:43Z</dcterms:modified>
  <cp:category>Strukturerhebung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2026-01-20T08:21:59Z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45e6064c-29cc-4125-af87-326bf0e16590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0x01010028D26AD4D433F842B31B8F2E11C3D7DD</vt:lpwstr>
  </property>
</Properties>
</file>